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164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May" sheetId="15" r:id="rId8"/>
    <sheet name="TB" sheetId="13" r:id="rId9"/>
    <sheet name="Investment" sheetId="14" r:id="rId10"/>
  </sheets>
  <externalReferences>
    <externalReference r:id="rId11"/>
  </externalReferences>
  <definedNames>
    <definedName name="_xlnm._FilterDatabase" localSheetId="0" hidden="1">'Man Accs '!$B$5:$L$5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Sheet'!$A$1:$I$40</definedName>
    <definedName name="_xlnm.Print_Area" localSheetId="0">'Man Accs '!$B$1:$L$82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TB!$A$1:$R$116</definedName>
    <definedName name="_xlnm.Print_Area" localSheetId="7">'TB (2) - May'!$A$1:$G$116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G21" i="10" l="1"/>
  <c r="G20" i="10"/>
  <c r="G19" i="10"/>
  <c r="G16" i="10"/>
  <c r="G15" i="10"/>
  <c r="G12" i="10"/>
  <c r="D23" i="10"/>
  <c r="G23" i="10"/>
  <c r="F23" i="10"/>
  <c r="F22" i="10" l="1"/>
  <c r="C75" i="10" l="1"/>
  <c r="AD82" i="10" l="1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P82" i="10"/>
  <c r="I82" i="10"/>
  <c r="E82" i="10"/>
  <c r="P60" i="10"/>
  <c r="P56" i="10"/>
  <c r="P79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P23" i="10"/>
  <c r="D101" i="13"/>
  <c r="D102" i="13"/>
  <c r="D103" i="13"/>
  <c r="D53" i="13"/>
  <c r="D11" i="13"/>
  <c r="P80" i="10" l="1"/>
  <c r="E59" i="10"/>
  <c r="E60" i="10" s="1"/>
  <c r="E41" i="10"/>
  <c r="E31" i="10"/>
  <c r="Z41" i="10" l="1"/>
  <c r="W41" i="10"/>
  <c r="W42" i="10" s="1"/>
  <c r="S42" i="10" l="1"/>
  <c r="J42" i="10"/>
  <c r="J38" i="10"/>
  <c r="J8" i="10"/>
  <c r="J34" i="10"/>
  <c r="J43" i="10" l="1"/>
  <c r="C22" i="10"/>
  <c r="E22" i="10"/>
  <c r="J75" i="10" l="1"/>
  <c r="I75" i="10"/>
  <c r="F75" i="10"/>
  <c r="E75" i="10"/>
  <c r="Q42" i="10"/>
  <c r="R42" i="10"/>
  <c r="U42" i="10"/>
  <c r="X42" i="10"/>
  <c r="Z42" i="10"/>
  <c r="AA42" i="10"/>
  <c r="P42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P38" i="10"/>
  <c r="P8" i="10"/>
  <c r="P25" i="10" s="1"/>
  <c r="S30" i="10"/>
  <c r="T30" i="10"/>
  <c r="U30" i="10"/>
  <c r="E30" i="10" s="1"/>
  <c r="V30" i="10"/>
  <c r="W30" i="10"/>
  <c r="X30" i="10"/>
  <c r="Y30" i="10"/>
  <c r="Z30" i="10"/>
  <c r="AA30" i="10"/>
  <c r="AB30" i="10"/>
  <c r="R30" i="10"/>
  <c r="AD35" i="10"/>
  <c r="AD6" i="10"/>
  <c r="AD36" i="10"/>
  <c r="AD39" i="10"/>
  <c r="AD40" i="10"/>
  <c r="P34" i="10"/>
  <c r="P43" i="10" s="1"/>
  <c r="D75" i="10" l="1"/>
  <c r="G75" i="10"/>
  <c r="J22" i="10"/>
  <c r="J23" i="10" s="1"/>
  <c r="S22" i="10"/>
  <c r="T22" i="10"/>
  <c r="U22" i="10"/>
  <c r="V22" i="10"/>
  <c r="W22" i="10"/>
  <c r="X22" i="10"/>
  <c r="Y22" i="10"/>
  <c r="Z22" i="10"/>
  <c r="AA22" i="10"/>
  <c r="AB22" i="10"/>
  <c r="T21" i="10"/>
  <c r="U21" i="10"/>
  <c r="V21" i="10"/>
  <c r="W21" i="10"/>
  <c r="X21" i="10"/>
  <c r="Y21" i="10"/>
  <c r="Z21" i="10"/>
  <c r="AA21" i="10"/>
  <c r="AB21" i="10"/>
  <c r="R22" i="10"/>
  <c r="Q22" i="10"/>
  <c r="J55" i="10"/>
  <c r="I55" i="10"/>
  <c r="AC55" i="10"/>
  <c r="AD55" i="10" s="1"/>
  <c r="E55" i="10"/>
  <c r="C55" i="10"/>
  <c r="F55" i="10" s="1"/>
  <c r="AC22" i="10" l="1"/>
  <c r="AD22" i="10" s="1"/>
  <c r="D22" i="10"/>
  <c r="I22" i="10"/>
  <c r="G22" i="10" s="1"/>
  <c r="G55" i="10"/>
  <c r="D55" i="10"/>
  <c r="H43" i="10" l="1"/>
  <c r="J36" i="14" l="1"/>
  <c r="F36" i="14"/>
  <c r="I35" i="14"/>
  <c r="G35" i="14"/>
  <c r="H34" i="14"/>
  <c r="H33" i="14"/>
  <c r="F33" i="14"/>
  <c r="J29" i="14"/>
  <c r="F29" i="14"/>
  <c r="I28" i="14"/>
  <c r="G28" i="14"/>
  <c r="H27" i="14"/>
  <c r="H26" i="14"/>
  <c r="F26" i="14"/>
  <c r="J22" i="14"/>
  <c r="F22" i="14"/>
  <c r="I21" i="14"/>
  <c r="G21" i="14"/>
  <c r="H20" i="14"/>
  <c r="F20" i="14"/>
  <c r="H19" i="14"/>
  <c r="F19" i="14"/>
  <c r="J15" i="14"/>
  <c r="F15" i="14"/>
  <c r="I14" i="14"/>
  <c r="G14" i="14"/>
  <c r="H13" i="14"/>
  <c r="F13" i="14"/>
  <c r="H12" i="14"/>
  <c r="F12" i="14"/>
  <c r="B9" i="14"/>
  <c r="B16" i="14" s="1"/>
  <c r="B23" i="14" s="1"/>
  <c r="B30" i="14" s="1"/>
  <c r="B37" i="14" s="1"/>
  <c r="J8" i="14"/>
  <c r="F8" i="14"/>
  <c r="I7" i="14"/>
  <c r="G7" i="14"/>
  <c r="H6" i="14"/>
  <c r="F6" i="14"/>
  <c r="H5" i="14"/>
  <c r="F5" i="14"/>
  <c r="E37" i="10" l="1"/>
  <c r="E38" i="10" s="1"/>
  <c r="E42" i="10"/>
  <c r="E29" i="10"/>
  <c r="C29" i="10"/>
  <c r="D101" i="15"/>
  <c r="D102" i="15"/>
  <c r="D53" i="15"/>
  <c r="D29" i="10" l="1"/>
  <c r="G113" i="15"/>
  <c r="F111" i="15"/>
  <c r="D111" i="15" s="1"/>
  <c r="F110" i="15"/>
  <c r="D110" i="15" s="1"/>
  <c r="F109" i="15"/>
  <c r="D109" i="15" s="1"/>
  <c r="C78" i="10" s="1"/>
  <c r="F108" i="15"/>
  <c r="D108" i="15" s="1"/>
  <c r="C20" i="10" s="1"/>
  <c r="F107" i="15"/>
  <c r="D107" i="15" s="1"/>
  <c r="C19" i="10" s="1"/>
  <c r="F106" i="15"/>
  <c r="D106" i="15" s="1"/>
  <c r="F105" i="15"/>
  <c r="D105" i="15" s="1"/>
  <c r="F104" i="15"/>
  <c r="D104" i="15" s="1"/>
  <c r="C21" i="10" s="1"/>
  <c r="F103" i="15"/>
  <c r="D103" i="15" s="1"/>
  <c r="F100" i="15"/>
  <c r="D100" i="15" s="1"/>
  <c r="F99" i="15"/>
  <c r="D99" i="15" s="1"/>
  <c r="F98" i="15"/>
  <c r="D98" i="15" s="1"/>
  <c r="F97" i="15"/>
  <c r="D97" i="15" s="1"/>
  <c r="F96" i="15"/>
  <c r="D96" i="15" s="1"/>
  <c r="F95" i="15"/>
  <c r="D95" i="15" s="1"/>
  <c r="F94" i="15"/>
  <c r="D94" i="15" s="1"/>
  <c r="F93" i="15"/>
  <c r="D93" i="15" s="1"/>
  <c r="F92" i="15"/>
  <c r="D92" i="15" s="1"/>
  <c r="F91" i="15"/>
  <c r="D91" i="15" s="1"/>
  <c r="C72" i="10" s="1"/>
  <c r="F90" i="15"/>
  <c r="D90" i="15" s="1"/>
  <c r="F89" i="15"/>
  <c r="D89" i="15" s="1"/>
  <c r="F88" i="15"/>
  <c r="D88" i="15" s="1"/>
  <c r="F87" i="15"/>
  <c r="D87" i="15" s="1"/>
  <c r="F86" i="15"/>
  <c r="D86" i="15" s="1"/>
  <c r="C54" i="10" s="1"/>
  <c r="F85" i="15"/>
  <c r="D85" i="15" s="1"/>
  <c r="F84" i="15"/>
  <c r="D84" i="15" s="1"/>
  <c r="F83" i="15"/>
  <c r="D83" i="15" s="1"/>
  <c r="F82" i="15"/>
  <c r="D82" i="15" s="1"/>
  <c r="F81" i="15"/>
  <c r="D81" i="15" s="1"/>
  <c r="F80" i="15"/>
  <c r="D80" i="15" s="1"/>
  <c r="F79" i="15"/>
  <c r="D79" i="15" s="1"/>
  <c r="F78" i="15"/>
  <c r="D78" i="15" s="1"/>
  <c r="F77" i="15"/>
  <c r="D77" i="15" s="1"/>
  <c r="F76" i="15"/>
  <c r="D76" i="15" s="1"/>
  <c r="F75" i="15"/>
  <c r="D75" i="15" s="1"/>
  <c r="C64" i="10" s="1"/>
  <c r="F74" i="15"/>
  <c r="D74" i="15" s="1"/>
  <c r="C16" i="10" s="1"/>
  <c r="F73" i="15"/>
  <c r="D73" i="15" s="1"/>
  <c r="F72" i="15"/>
  <c r="D72" i="15" s="1"/>
  <c r="F71" i="15"/>
  <c r="D71" i="15" s="1"/>
  <c r="F70" i="15"/>
  <c r="D70" i="15" s="1"/>
  <c r="F69" i="15"/>
  <c r="D69" i="15" s="1"/>
  <c r="F68" i="15"/>
  <c r="D68" i="15" s="1"/>
  <c r="F67" i="15"/>
  <c r="D67" i="15" s="1"/>
  <c r="F66" i="15"/>
  <c r="D66" i="15" s="1"/>
  <c r="F65" i="15"/>
  <c r="D65" i="15" s="1"/>
  <c r="C15" i="10" s="1"/>
  <c r="F64" i="15"/>
  <c r="D64" i="15" s="1"/>
  <c r="F63" i="15"/>
  <c r="D63" i="15" s="1"/>
  <c r="F62" i="15"/>
  <c r="D62" i="15" s="1"/>
  <c r="F61" i="15"/>
  <c r="D61" i="15" s="1"/>
  <c r="C53" i="10" s="1"/>
  <c r="F60" i="15"/>
  <c r="D60" i="15" s="1"/>
  <c r="C50" i="10" s="1"/>
  <c r="F59" i="15"/>
  <c r="D59" i="15" s="1"/>
  <c r="C49" i="10" s="1"/>
  <c r="F58" i="15"/>
  <c r="D58" i="15" s="1"/>
  <c r="F57" i="15"/>
  <c r="D57" i="15" s="1"/>
  <c r="F56" i="15"/>
  <c r="D56" i="15" s="1"/>
  <c r="F55" i="15"/>
  <c r="D55" i="15" s="1"/>
  <c r="F54" i="15"/>
  <c r="D54" i="15" s="1"/>
  <c r="C48" i="10" s="1"/>
  <c r="F52" i="15"/>
  <c r="D52" i="15" s="1"/>
  <c r="F51" i="15"/>
  <c r="D51" i="15" s="1"/>
  <c r="F50" i="15"/>
  <c r="D50" i="15" s="1"/>
  <c r="C37" i="10" s="1"/>
  <c r="C38" i="10" s="1"/>
  <c r="D38" i="10" s="1"/>
  <c r="F49" i="15"/>
  <c r="D49" i="15" s="1"/>
  <c r="F48" i="15"/>
  <c r="D48" i="15" s="1"/>
  <c r="F47" i="15"/>
  <c r="D47" i="15" s="1"/>
  <c r="F46" i="15"/>
  <c r="D46" i="15" s="1"/>
  <c r="F45" i="15"/>
  <c r="D45" i="15" s="1"/>
  <c r="F44" i="15"/>
  <c r="D44" i="15" s="1"/>
  <c r="F43" i="15"/>
  <c r="D43" i="15" s="1"/>
  <c r="F42" i="15"/>
  <c r="D42" i="15" s="1"/>
  <c r="C7" i="10" s="1"/>
  <c r="C8" i="10" s="1"/>
  <c r="F41" i="15"/>
  <c r="D41" i="15" s="1"/>
  <c r="F40" i="15"/>
  <c r="D40" i="15" s="1"/>
  <c r="C33" i="10" s="1"/>
  <c r="F39" i="15"/>
  <c r="D39" i="15" s="1"/>
  <c r="F38" i="15"/>
  <c r="D38" i="15" s="1"/>
  <c r="C41" i="10" s="1"/>
  <c r="F37" i="15"/>
  <c r="D37" i="15" s="1"/>
  <c r="F36" i="15"/>
  <c r="D36" i="15" s="1"/>
  <c r="F35" i="15"/>
  <c r="D35" i="15" s="1"/>
  <c r="C32" i="10" s="1"/>
  <c r="F34" i="15"/>
  <c r="D34" i="15" s="1"/>
  <c r="F33" i="15"/>
  <c r="D33" i="15" s="1"/>
  <c r="C31" i="10" s="1"/>
  <c r="F32" i="15"/>
  <c r="D32" i="15" s="1"/>
  <c r="F29" i="15"/>
  <c r="D29" i="15" s="1"/>
  <c r="F28" i="15"/>
  <c r="D28" i="15" s="1"/>
  <c r="F27" i="15"/>
  <c r="D27" i="15" s="1"/>
  <c r="F25" i="15"/>
  <c r="D25" i="15" s="1"/>
  <c r="F24" i="15"/>
  <c r="D24" i="15" s="1"/>
  <c r="F23" i="15"/>
  <c r="D23" i="15" s="1"/>
  <c r="D22" i="15"/>
  <c r="F21" i="15"/>
  <c r="D21" i="15" s="1"/>
  <c r="F20" i="15"/>
  <c r="D20" i="15" s="1"/>
  <c r="F19" i="15"/>
  <c r="D19" i="15" s="1"/>
  <c r="F18" i="15"/>
  <c r="D18" i="15" s="1"/>
  <c r="F17" i="15"/>
  <c r="D17" i="15" s="1"/>
  <c r="F16" i="15"/>
  <c r="D16" i="15" s="1"/>
  <c r="F15" i="15"/>
  <c r="D15" i="15" s="1"/>
  <c r="F14" i="15"/>
  <c r="D14" i="15" s="1"/>
  <c r="F13" i="15"/>
  <c r="D13" i="15" s="1"/>
  <c r="F12" i="15"/>
  <c r="D12" i="15" s="1"/>
  <c r="F10" i="15"/>
  <c r="D10" i="15" s="1"/>
  <c r="F9" i="15"/>
  <c r="D9" i="15" s="1"/>
  <c r="F8" i="15"/>
  <c r="D8" i="15" s="1"/>
  <c r="F7" i="15"/>
  <c r="D7" i="15" s="1"/>
  <c r="F6" i="15"/>
  <c r="D6" i="15" s="1"/>
  <c r="F5" i="15"/>
  <c r="D5" i="15" s="1"/>
  <c r="F4" i="15"/>
  <c r="D4" i="15" s="1"/>
  <c r="C3" i="15"/>
  <c r="C12" i="10" l="1"/>
  <c r="C65" i="10"/>
  <c r="C59" i="10"/>
  <c r="C60" i="10" s="1"/>
  <c r="C56" i="10"/>
  <c r="C23" i="10"/>
  <c r="C25" i="10" s="1"/>
  <c r="D41" i="10"/>
  <c r="C42" i="10"/>
  <c r="D42" i="10" s="1"/>
  <c r="D37" i="10"/>
  <c r="C30" i="10"/>
  <c r="C34" i="10" s="1"/>
  <c r="C43" i="10" s="1"/>
  <c r="C69" i="10"/>
  <c r="C66" i="10"/>
  <c r="F26" i="15"/>
  <c r="D26" i="15" s="1"/>
  <c r="D3" i="15" s="1"/>
  <c r="D113" i="15"/>
  <c r="C85" i="10" s="1"/>
  <c r="D59" i="10" l="1"/>
  <c r="C79" i="10"/>
  <c r="C80" i="10" s="1"/>
  <c r="C82" i="10" s="1"/>
  <c r="C84" i="10" s="1"/>
  <c r="D115" i="15"/>
  <c r="D30" i="10"/>
  <c r="F3" i="15"/>
  <c r="F40" i="3"/>
  <c r="F38" i="3"/>
  <c r="E24" i="3"/>
  <c r="E21" i="3"/>
  <c r="E15" i="3"/>
  <c r="J80" i="10"/>
  <c r="J82" i="10" l="1"/>
  <c r="E25" i="3"/>
  <c r="F28" i="3" s="1"/>
  <c r="F30" i="3" s="1"/>
  <c r="C86" i="10" l="1"/>
  <c r="F38" i="13"/>
  <c r="F14" i="13" l="1"/>
  <c r="D14" i="13" s="1"/>
  <c r="F13" i="13"/>
  <c r="C3" i="13" l="1"/>
  <c r="G26" i="13" s="1"/>
  <c r="B2" i="3" l="1"/>
  <c r="F29" i="10" l="1"/>
  <c r="G113" i="13" l="1"/>
  <c r="H113" i="13"/>
  <c r="I37" i="10" l="1"/>
  <c r="I38" i="10" s="1"/>
  <c r="I29" i="10"/>
  <c r="AC37" i="10"/>
  <c r="AC38" i="10" l="1"/>
  <c r="AD38" i="10" s="1"/>
  <c r="AD37" i="10"/>
  <c r="G29" i="10"/>
  <c r="AB78" i="10"/>
  <c r="AA78" i="10"/>
  <c r="Z78" i="10"/>
  <c r="Y78" i="10"/>
  <c r="X78" i="10"/>
  <c r="W78" i="10"/>
  <c r="V78" i="10"/>
  <c r="U78" i="10"/>
  <c r="T78" i="10"/>
  <c r="E78" i="10" s="1"/>
  <c r="S78" i="10"/>
  <c r="R78" i="10"/>
  <c r="Q78" i="10"/>
  <c r="I59" i="10"/>
  <c r="I60" i="10" s="1"/>
  <c r="AB7" i="10"/>
  <c r="AB8" i="10" s="1"/>
  <c r="AA7" i="10"/>
  <c r="AA8" i="10" s="1"/>
  <c r="Z7" i="10"/>
  <c r="Z8" i="10" s="1"/>
  <c r="Y7" i="10"/>
  <c r="Y8" i="10" s="1"/>
  <c r="X7" i="10"/>
  <c r="X8" i="10" s="1"/>
  <c r="W7" i="10"/>
  <c r="W8" i="10" s="1"/>
  <c r="V7" i="10"/>
  <c r="V8" i="10" s="1"/>
  <c r="U7" i="10"/>
  <c r="U8" i="10" s="1"/>
  <c r="T7" i="10"/>
  <c r="T8" i="10" s="1"/>
  <c r="S7" i="10"/>
  <c r="S8" i="10" s="1"/>
  <c r="R7" i="10"/>
  <c r="R8" i="10" s="1"/>
  <c r="Q7" i="10"/>
  <c r="D78" i="10" l="1"/>
  <c r="E7" i="10"/>
  <c r="E8" i="10" s="1"/>
  <c r="Q8" i="10"/>
  <c r="D7" i="10"/>
  <c r="H29" i="10"/>
  <c r="I7" i="10"/>
  <c r="I8" i="10" s="1"/>
  <c r="Q31" i="10"/>
  <c r="I30" i="10"/>
  <c r="AC78" i="10"/>
  <c r="AD78" i="10" s="1"/>
  <c r="I78" i="10"/>
  <c r="R113" i="13"/>
  <c r="Q113" i="13"/>
  <c r="P113" i="13"/>
  <c r="O113" i="13"/>
  <c r="N113" i="13"/>
  <c r="M113" i="13"/>
  <c r="L113" i="13"/>
  <c r="K113" i="13"/>
  <c r="J113" i="13"/>
  <c r="I113" i="13"/>
  <c r="D8" i="10" l="1"/>
  <c r="D31" i="10"/>
  <c r="B24" i="3"/>
  <c r="D22" i="13"/>
  <c r="L80" i="10" l="1"/>
  <c r="L43" i="10"/>
  <c r="L82" i="10" l="1"/>
  <c r="F52" i="13"/>
  <c r="F51" i="13"/>
  <c r="F50" i="13"/>
  <c r="F24" i="13" l="1"/>
  <c r="F95" i="13" l="1"/>
  <c r="F96" i="13"/>
  <c r="F97" i="13"/>
  <c r="F98" i="13"/>
  <c r="F99" i="13"/>
  <c r="F100" i="13"/>
  <c r="D50" i="13" l="1"/>
  <c r="D51" i="13"/>
  <c r="D52" i="13"/>
  <c r="D95" i="13"/>
  <c r="D96" i="13"/>
  <c r="D97" i="13"/>
  <c r="D98" i="13"/>
  <c r="D99" i="13"/>
  <c r="D100" i="13"/>
  <c r="F59" i="10" s="1"/>
  <c r="F60" i="10" s="1"/>
  <c r="G60" i="10" s="1"/>
  <c r="F37" i="10" l="1"/>
  <c r="F38" i="10" s="1"/>
  <c r="G38" i="10" s="1"/>
  <c r="F26" i="13"/>
  <c r="F5" i="13"/>
  <c r="F6" i="13"/>
  <c r="F7" i="13"/>
  <c r="F8" i="13"/>
  <c r="D8" i="13" s="1"/>
  <c r="F9" i="13"/>
  <c r="F10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G37" i="10" l="1"/>
  <c r="K37" i="10"/>
  <c r="D26" i="13"/>
  <c r="F46" i="13"/>
  <c r="D46" i="13" s="1"/>
  <c r="F47" i="13"/>
  <c r="D47" i="13" s="1"/>
  <c r="F48" i="13"/>
  <c r="D48" i="13" s="1"/>
  <c r="F49" i="13"/>
  <c r="D49" i="13" s="1"/>
  <c r="F54" i="13"/>
  <c r="D54" i="13" s="1"/>
  <c r="F48" i="10" s="1"/>
  <c r="F55" i="13"/>
  <c r="D55" i="13" s="1"/>
  <c r="F56" i="13"/>
  <c r="D56" i="13" s="1"/>
  <c r="F57" i="13"/>
  <c r="D57" i="13" s="1"/>
  <c r="F58" i="13"/>
  <c r="D58" i="13" s="1"/>
  <c r="F59" i="13"/>
  <c r="D59" i="13" s="1"/>
  <c r="F49" i="10" s="1"/>
  <c r="F60" i="13"/>
  <c r="D60" i="13" s="1"/>
  <c r="F50" i="10" s="1"/>
  <c r="F61" i="13"/>
  <c r="D61" i="13" s="1"/>
  <c r="F53" i="10" s="1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D74" i="13" s="1"/>
  <c r="F16" i="10" s="1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3" i="13"/>
  <c r="D83" i="13" s="1"/>
  <c r="F84" i="13"/>
  <c r="D84" i="13" s="1"/>
  <c r="F85" i="13"/>
  <c r="D85" i="13" s="1"/>
  <c r="F86" i="13"/>
  <c r="D86" i="13" s="1"/>
  <c r="F54" i="10" s="1"/>
  <c r="F87" i="13"/>
  <c r="D87" i="13" s="1"/>
  <c r="F88" i="13"/>
  <c r="D88" i="13" s="1"/>
  <c r="F89" i="13"/>
  <c r="D89" i="13" s="1"/>
  <c r="F90" i="13"/>
  <c r="D90" i="13" s="1"/>
  <c r="F91" i="13"/>
  <c r="D91" i="13" s="1"/>
  <c r="F72" i="10" s="1"/>
  <c r="F92" i="13"/>
  <c r="D92" i="13" s="1"/>
  <c r="F93" i="13"/>
  <c r="D93" i="13" s="1"/>
  <c r="F94" i="13"/>
  <c r="D94" i="13" s="1"/>
  <c r="F103" i="13"/>
  <c r="F104" i="13"/>
  <c r="D104" i="13" s="1"/>
  <c r="F21" i="10" s="1"/>
  <c r="F105" i="13"/>
  <c r="D105" i="13" s="1"/>
  <c r="F106" i="13"/>
  <c r="D106" i="13" s="1"/>
  <c r="F107" i="13"/>
  <c r="D107" i="13" s="1"/>
  <c r="F19" i="10" s="1"/>
  <c r="F108" i="13"/>
  <c r="D108" i="13" s="1"/>
  <c r="F20" i="10" s="1"/>
  <c r="F109" i="13"/>
  <c r="D109" i="13" s="1"/>
  <c r="F78" i="10" s="1"/>
  <c r="F110" i="13"/>
  <c r="D110" i="13" s="1"/>
  <c r="F111" i="13"/>
  <c r="D111" i="13" s="1"/>
  <c r="F56" i="10" l="1"/>
  <c r="F12" i="10"/>
  <c r="H37" i="10"/>
  <c r="F66" i="10"/>
  <c r="F69" i="10"/>
  <c r="F65" i="10"/>
  <c r="F64" i="10"/>
  <c r="F79" i="10" s="1"/>
  <c r="F15" i="10"/>
  <c r="AC59" i="10"/>
  <c r="AC60" i="10" s="1"/>
  <c r="F34" i="13"/>
  <c r="D34" i="13" s="1"/>
  <c r="F35" i="13"/>
  <c r="D35" i="13" s="1"/>
  <c r="F32" i="10" s="1"/>
  <c r="F36" i="13"/>
  <c r="D36" i="13" s="1"/>
  <c r="F37" i="13"/>
  <c r="D37" i="13" s="1"/>
  <c r="D38" i="13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33" i="13" s="1"/>
  <c r="F31" i="10" s="1"/>
  <c r="F30" i="10" s="1"/>
  <c r="D29" i="13"/>
  <c r="D28" i="13"/>
  <c r="D27" i="13"/>
  <c r="D25" i="13"/>
  <c r="B11" i="3" s="1"/>
  <c r="D24" i="13"/>
  <c r="B22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F80" i="10" l="1"/>
  <c r="B14" i="3"/>
  <c r="D113" i="13"/>
  <c r="C40" i="3"/>
  <c r="F7" i="10"/>
  <c r="F8" i="10" s="1"/>
  <c r="F33" i="10"/>
  <c r="F34" i="10" s="1"/>
  <c r="F41" i="10"/>
  <c r="F42" i="10" s="1"/>
  <c r="K50" i="10"/>
  <c r="K29" i="10"/>
  <c r="K65" i="10"/>
  <c r="K31" i="10"/>
  <c r="K66" i="10"/>
  <c r="C34" i="3"/>
  <c r="C35" i="3"/>
  <c r="F25" i="10" l="1"/>
  <c r="F43" i="10"/>
  <c r="G8" i="10"/>
  <c r="F85" i="10"/>
  <c r="C36" i="3"/>
  <c r="G7" i="10"/>
  <c r="H7" i="10" s="1"/>
  <c r="G30" i="10"/>
  <c r="K33" i="10"/>
  <c r="F82" i="10" l="1"/>
  <c r="G82" i="10" s="1"/>
  <c r="F84" i="10"/>
  <c r="H30" i="10"/>
  <c r="F86" i="10" l="1"/>
  <c r="K48" i="10"/>
  <c r="B12" i="3" l="1"/>
  <c r="B15" i="3" s="1"/>
  <c r="T41" i="10" l="1"/>
  <c r="T42" i="10" s="1"/>
  <c r="V42" i="10"/>
  <c r="Y42" i="10"/>
  <c r="AB41" i="10"/>
  <c r="AB42" i="10" s="1"/>
  <c r="AB69" i="10"/>
  <c r="AA69" i="10"/>
  <c r="Z69" i="10"/>
  <c r="Y69" i="10"/>
  <c r="X69" i="10"/>
  <c r="W69" i="10"/>
  <c r="V69" i="10"/>
  <c r="U69" i="10"/>
  <c r="T69" i="10"/>
  <c r="E69" i="10" s="1"/>
  <c r="D69" i="10" s="1"/>
  <c r="S69" i="10"/>
  <c r="R69" i="10"/>
  <c r="Q69" i="10"/>
  <c r="AB65" i="10"/>
  <c r="AA65" i="10"/>
  <c r="Z65" i="10"/>
  <c r="Y65" i="10"/>
  <c r="X65" i="10"/>
  <c r="W65" i="10"/>
  <c r="V65" i="10"/>
  <c r="U65" i="10"/>
  <c r="T65" i="10"/>
  <c r="E65" i="10" s="1"/>
  <c r="D65" i="10" s="1"/>
  <c r="S65" i="10"/>
  <c r="R65" i="10"/>
  <c r="Q65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72" i="10"/>
  <c r="AA72" i="10"/>
  <c r="Z72" i="10"/>
  <c r="Y72" i="10"/>
  <c r="X72" i="10"/>
  <c r="W72" i="10"/>
  <c r="V72" i="10"/>
  <c r="U72" i="10"/>
  <c r="T72" i="10"/>
  <c r="E72" i="10" s="1"/>
  <c r="D72" i="10" s="1"/>
  <c r="S72" i="10"/>
  <c r="R72" i="10"/>
  <c r="Q72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54" i="10"/>
  <c r="AA54" i="10"/>
  <c r="Z54" i="10"/>
  <c r="Y54" i="10"/>
  <c r="X54" i="10"/>
  <c r="W54" i="10"/>
  <c r="V54" i="10"/>
  <c r="U54" i="10"/>
  <c r="T54" i="10"/>
  <c r="E54" i="10" s="1"/>
  <c r="D54" i="10" s="1"/>
  <c r="S54" i="10"/>
  <c r="R54" i="10"/>
  <c r="Q54" i="10"/>
  <c r="E21" i="10"/>
  <c r="D21" i="10" s="1"/>
  <c r="S21" i="10"/>
  <c r="R21" i="10"/>
  <c r="Q21" i="10"/>
  <c r="AB15" i="10"/>
  <c r="AA15" i="10"/>
  <c r="Z15" i="10"/>
  <c r="Y15" i="10"/>
  <c r="X15" i="10"/>
  <c r="W15" i="10"/>
  <c r="V15" i="10"/>
  <c r="U15" i="10"/>
  <c r="T15" i="10"/>
  <c r="E15" i="10" s="1"/>
  <c r="D15" i="10" s="1"/>
  <c r="S15" i="10"/>
  <c r="R15" i="10"/>
  <c r="Q15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64" i="10"/>
  <c r="AB79" i="10" s="1"/>
  <c r="AA64" i="10"/>
  <c r="AA79" i="10" s="1"/>
  <c r="Z64" i="10"/>
  <c r="Z79" i="10" s="1"/>
  <c r="Y64" i="10"/>
  <c r="Y79" i="10" s="1"/>
  <c r="X64" i="10"/>
  <c r="X79" i="10" s="1"/>
  <c r="W64" i="10"/>
  <c r="W79" i="10" s="1"/>
  <c r="V64" i="10"/>
  <c r="V79" i="10" s="1"/>
  <c r="U64" i="10"/>
  <c r="U79" i="10" s="1"/>
  <c r="T64" i="10"/>
  <c r="S64" i="10"/>
  <c r="S79" i="10" s="1"/>
  <c r="R64" i="10"/>
  <c r="R79" i="10" s="1"/>
  <c r="Q64" i="10"/>
  <c r="Q79" i="10" s="1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19" i="10"/>
  <c r="AA19" i="10"/>
  <c r="Z19" i="10"/>
  <c r="Y19" i="10"/>
  <c r="X19" i="10"/>
  <c r="W19" i="10"/>
  <c r="V19" i="10"/>
  <c r="U19" i="10"/>
  <c r="T19" i="10"/>
  <c r="E19" i="10" s="1"/>
  <c r="D19" i="10" s="1"/>
  <c r="S19" i="10"/>
  <c r="R19" i="10"/>
  <c r="Q19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0" i="10"/>
  <c r="AA50" i="10"/>
  <c r="Z50" i="10"/>
  <c r="Y50" i="10"/>
  <c r="X50" i="10"/>
  <c r="W50" i="10"/>
  <c r="V50" i="10"/>
  <c r="U50" i="10"/>
  <c r="T50" i="10"/>
  <c r="E50" i="10" s="1"/>
  <c r="D50" i="10" s="1"/>
  <c r="S50" i="10"/>
  <c r="R50" i="10"/>
  <c r="Q50" i="10"/>
  <c r="AB49" i="10"/>
  <c r="AA49" i="10"/>
  <c r="Z49" i="10"/>
  <c r="Y49" i="10"/>
  <c r="X49" i="10"/>
  <c r="W49" i="10"/>
  <c r="V49" i="10"/>
  <c r="U49" i="10"/>
  <c r="T49" i="10"/>
  <c r="E49" i="10" s="1"/>
  <c r="D49" i="10" s="1"/>
  <c r="S49" i="10"/>
  <c r="R49" i="10"/>
  <c r="Q49" i="10"/>
  <c r="AB48" i="10"/>
  <c r="AB56" i="10" s="1"/>
  <c r="AB80" i="10" s="1"/>
  <c r="AA48" i="10"/>
  <c r="AA56" i="10" s="1"/>
  <c r="AA80" i="10" s="1"/>
  <c r="Z48" i="10"/>
  <c r="Z56" i="10" s="1"/>
  <c r="Z80" i="10" s="1"/>
  <c r="Y48" i="10"/>
  <c r="Y56" i="10" s="1"/>
  <c r="Y80" i="10" s="1"/>
  <c r="X48" i="10"/>
  <c r="X56" i="10" s="1"/>
  <c r="X80" i="10" s="1"/>
  <c r="W48" i="10"/>
  <c r="W56" i="10" s="1"/>
  <c r="W80" i="10" s="1"/>
  <c r="V48" i="10"/>
  <c r="V56" i="10" s="1"/>
  <c r="V80" i="10" s="1"/>
  <c r="U48" i="10"/>
  <c r="U56" i="10" s="1"/>
  <c r="U80" i="10" s="1"/>
  <c r="T48" i="10"/>
  <c r="T56" i="10" s="1"/>
  <c r="S48" i="10"/>
  <c r="S56" i="10" s="1"/>
  <c r="S80" i="10" s="1"/>
  <c r="R48" i="10"/>
  <c r="R56" i="10" s="1"/>
  <c r="R80" i="10" s="1"/>
  <c r="Q48" i="10"/>
  <c r="Q56" i="10" s="1"/>
  <c r="Q80" i="10" s="1"/>
  <c r="AB33" i="10"/>
  <c r="AB34" i="10" s="1"/>
  <c r="AB43" i="10" s="1"/>
  <c r="AA33" i="10"/>
  <c r="AA34" i="10" s="1"/>
  <c r="AA43" i="10" s="1"/>
  <c r="Z33" i="10"/>
  <c r="Z34" i="10" s="1"/>
  <c r="Z43" i="10" s="1"/>
  <c r="Y33" i="10"/>
  <c r="Y34" i="10" s="1"/>
  <c r="Y43" i="10" s="1"/>
  <c r="X33" i="10"/>
  <c r="X34" i="10" s="1"/>
  <c r="X43" i="10" s="1"/>
  <c r="W33" i="10"/>
  <c r="W34" i="10" s="1"/>
  <c r="W43" i="10" s="1"/>
  <c r="V33" i="10"/>
  <c r="V34" i="10" s="1"/>
  <c r="V43" i="10" s="1"/>
  <c r="U33" i="10"/>
  <c r="U34" i="10" s="1"/>
  <c r="U43" i="10" s="1"/>
  <c r="T33" i="10"/>
  <c r="T34" i="10" s="1"/>
  <c r="T43" i="10" s="1"/>
  <c r="S33" i="10"/>
  <c r="S34" i="10" s="1"/>
  <c r="S43" i="10" s="1"/>
  <c r="R33" i="10"/>
  <c r="R34" i="10" s="1"/>
  <c r="R43" i="10" s="1"/>
  <c r="Q33" i="10"/>
  <c r="Q32" i="10"/>
  <c r="E64" i="10" l="1"/>
  <c r="T79" i="10"/>
  <c r="T80" i="10" s="1"/>
  <c r="E48" i="10"/>
  <c r="X23" i="10"/>
  <c r="X25" i="10" s="1"/>
  <c r="Q23" i="10"/>
  <c r="Q25" i="10" s="1"/>
  <c r="S23" i="10"/>
  <c r="S25" i="10" s="1"/>
  <c r="U23" i="10"/>
  <c r="U25" i="10" s="1"/>
  <c r="W23" i="10"/>
  <c r="W25" i="10" s="1"/>
  <c r="Y23" i="10"/>
  <c r="Y25" i="10" s="1"/>
  <c r="AA23" i="10"/>
  <c r="AA25" i="10" s="1"/>
  <c r="R23" i="10"/>
  <c r="R25" i="10" s="1"/>
  <c r="E12" i="10"/>
  <c r="T23" i="10"/>
  <c r="T25" i="10" s="1"/>
  <c r="V23" i="10"/>
  <c r="V25" i="10" s="1"/>
  <c r="Z23" i="10"/>
  <c r="Z25" i="10" s="1"/>
  <c r="AB23" i="10"/>
  <c r="AB25" i="10" s="1"/>
  <c r="E33" i="10"/>
  <c r="D33" i="10" s="1"/>
  <c r="I41" i="10"/>
  <c r="I42" i="10" s="1"/>
  <c r="G42" i="10" s="1"/>
  <c r="E32" i="10"/>
  <c r="Q34" i="10"/>
  <c r="Q43" i="10" s="1"/>
  <c r="E53" i="10"/>
  <c r="I49" i="10"/>
  <c r="I53" i="10"/>
  <c r="I20" i="10"/>
  <c r="I12" i="10"/>
  <c r="I21" i="10"/>
  <c r="I16" i="10"/>
  <c r="I72" i="10"/>
  <c r="I66" i="10"/>
  <c r="G66" i="10" s="1"/>
  <c r="I50" i="10"/>
  <c r="G50" i="10" s="1"/>
  <c r="I19" i="10"/>
  <c r="I64" i="10"/>
  <c r="I15" i="10"/>
  <c r="I54" i="10"/>
  <c r="I65" i="10"/>
  <c r="G65" i="10" s="1"/>
  <c r="I32" i="10"/>
  <c r="I33" i="10"/>
  <c r="I69" i="10"/>
  <c r="I48" i="10"/>
  <c r="AC16" i="10"/>
  <c r="AD16" i="10" s="1"/>
  <c r="AC33" i="10"/>
  <c r="AD33" i="10" s="1"/>
  <c r="AC32" i="10"/>
  <c r="AD32" i="10" s="1"/>
  <c r="AC41" i="10"/>
  <c r="AC7" i="10"/>
  <c r="AC30" i="10"/>
  <c r="AD30" i="10" s="1"/>
  <c r="AC29" i="10"/>
  <c r="I56" i="10" l="1"/>
  <c r="D60" i="10"/>
  <c r="E56" i="10"/>
  <c r="D64" i="10"/>
  <c r="E79" i="10"/>
  <c r="D79" i="10" s="1"/>
  <c r="I79" i="10"/>
  <c r="I23" i="10"/>
  <c r="I25" i="10" s="1"/>
  <c r="D12" i="10"/>
  <c r="E23" i="10"/>
  <c r="E25" i="10" s="1"/>
  <c r="D82" i="10" s="1"/>
  <c r="E34" i="10"/>
  <c r="G41" i="10"/>
  <c r="H41" i="10" s="1"/>
  <c r="AC42" i="10"/>
  <c r="AD42" i="10" s="1"/>
  <c r="AD41" i="10"/>
  <c r="AD7" i="10"/>
  <c r="AC8" i="10"/>
  <c r="D32" i="10"/>
  <c r="D53" i="10"/>
  <c r="AD29" i="10"/>
  <c r="D48" i="10"/>
  <c r="H66" i="10"/>
  <c r="H65" i="10"/>
  <c r="H50" i="10"/>
  <c r="G33" i="10"/>
  <c r="G48" i="10"/>
  <c r="H48" i="10" s="1"/>
  <c r="G32" i="10"/>
  <c r="I31" i="10"/>
  <c r="I34" i="10" s="1"/>
  <c r="I43" i="10" s="1"/>
  <c r="AC31" i="10"/>
  <c r="AD31" i="10" s="1"/>
  <c r="G25" i="10" l="1"/>
  <c r="E80" i="10"/>
  <c r="D80" i="10" s="1"/>
  <c r="D56" i="10"/>
  <c r="I80" i="10"/>
  <c r="G56" i="10"/>
  <c r="D34" i="10"/>
  <c r="E43" i="10"/>
  <c r="D43" i="10"/>
  <c r="AD8" i="10"/>
  <c r="D25" i="10"/>
  <c r="AC34" i="10"/>
  <c r="AC43" i="10" s="1"/>
  <c r="G34" i="10"/>
  <c r="G43" i="10"/>
  <c r="H33" i="10"/>
  <c r="H32" i="10"/>
  <c r="G31" i="10"/>
  <c r="G49" i="10"/>
  <c r="AD34" i="10" l="1"/>
  <c r="H31" i="10"/>
  <c r="H49" i="10"/>
  <c r="G78" i="10"/>
  <c r="G59" i="10"/>
  <c r="G72" i="10"/>
  <c r="G54" i="10"/>
  <c r="G53" i="10"/>
  <c r="K49" i="10"/>
  <c r="K20" i="10"/>
  <c r="K76" i="10"/>
  <c r="K21" i="10"/>
  <c r="K72" i="10"/>
  <c r="K16" i="10"/>
  <c r="K32" i="10"/>
  <c r="K78" i="10"/>
  <c r="K19" i="10"/>
  <c r="K59" i="10"/>
  <c r="K54" i="10"/>
  <c r="K53" i="10"/>
  <c r="H20" i="10" l="1"/>
  <c r="H53" i="10"/>
  <c r="H54" i="10"/>
  <c r="H21" i="10"/>
  <c r="H16" i="10"/>
  <c r="H72" i="10"/>
  <c r="H59" i="10"/>
  <c r="H19" i="10"/>
  <c r="H78" i="10"/>
  <c r="G64" i="10"/>
  <c r="G69" i="10"/>
  <c r="K15" i="10"/>
  <c r="K64" i="10"/>
  <c r="K69" i="10"/>
  <c r="K12" i="10"/>
  <c r="K7" i="10"/>
  <c r="K41" i="10"/>
  <c r="H60" i="10" l="1"/>
  <c r="H12" i="10"/>
  <c r="H69" i="10"/>
  <c r="H64" i="10"/>
  <c r="H15" i="10"/>
  <c r="G80" i="10"/>
  <c r="K80" i="10"/>
  <c r="I46" i="3"/>
  <c r="H79" i="10" l="1"/>
  <c r="G79" i="10" s="1"/>
  <c r="H23" i="10"/>
  <c r="H80" i="10"/>
  <c r="H82" i="10" l="1"/>
  <c r="AC50" i="10" l="1"/>
  <c r="AD50" i="10" s="1"/>
  <c r="AC49" i="10"/>
  <c r="AD49" i="10" s="1"/>
  <c r="AC53" i="10"/>
  <c r="AD59" i="10"/>
  <c r="AC19" i="10"/>
  <c r="AD19" i="10" s="1"/>
  <c r="AC20" i="10"/>
  <c r="AD20" i="10" s="1"/>
  <c r="AC64" i="10"/>
  <c r="AC12" i="10"/>
  <c r="AC15" i="10"/>
  <c r="AD15" i="10" s="1"/>
  <c r="AC21" i="10"/>
  <c r="AD21" i="10" s="1"/>
  <c r="AC54" i="10"/>
  <c r="AD54" i="10" s="1"/>
  <c r="AC75" i="10"/>
  <c r="AD75" i="10" s="1"/>
  <c r="AC72" i="10"/>
  <c r="AD72" i="10" s="1"/>
  <c r="AC66" i="10"/>
  <c r="AD66" i="10" s="1"/>
  <c r="AC65" i="10"/>
  <c r="AD65" i="10" s="1"/>
  <c r="AC69" i="10"/>
  <c r="AD69" i="10" s="1"/>
  <c r="AC48" i="10"/>
  <c r="AD60" i="10" l="1"/>
  <c r="AC56" i="10"/>
  <c r="AD64" i="10"/>
  <c r="AC79" i="10"/>
  <c r="AD79" i="10" s="1"/>
  <c r="AD12" i="10"/>
  <c r="AC23" i="10"/>
  <c r="AD48" i="10"/>
  <c r="AD53" i="10"/>
  <c r="AD43" i="10"/>
  <c r="AC80" i="10" l="1"/>
  <c r="AD56" i="10"/>
  <c r="AD23" i="10"/>
  <c r="AC25" i="10"/>
  <c r="AD80" i="10"/>
  <c r="B23" i="3"/>
  <c r="K30" i="10" l="1"/>
  <c r="K43" i="10" s="1"/>
  <c r="K82" i="10" s="1"/>
  <c r="C38" i="3" l="1"/>
  <c r="I43" i="3"/>
  <c r="H187" i="5"/>
  <c r="H194" i="5"/>
  <c r="H225" i="5"/>
  <c r="D5" i="2"/>
  <c r="D23" i="2"/>
  <c r="D27" i="2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D56" i="1" s="1"/>
  <c r="D144" i="1" s="1"/>
  <c r="F42" i="1"/>
  <c r="G42" i="1"/>
  <c r="G56" i="1" s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G143" i="1" s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/>
  <c r="G4" i="6"/>
  <c r="C4" i="6"/>
  <c r="N5" i="6"/>
  <c r="L5" i="6"/>
  <c r="G5" i="6"/>
  <c r="N6" i="6"/>
  <c r="L6" i="6"/>
  <c r="G6" i="6"/>
  <c r="N7" i="6"/>
  <c r="L7" i="6"/>
  <c r="G7" i="6"/>
  <c r="H7" i="6"/>
  <c r="N8" i="6"/>
  <c r="L8" i="6"/>
  <c r="G8" i="6"/>
  <c r="C8" i="6"/>
  <c r="N9" i="6"/>
  <c r="L9" i="6"/>
  <c r="G9" i="6"/>
  <c r="N10" i="6"/>
  <c r="L10" i="6"/>
  <c r="G10" i="6"/>
  <c r="N11" i="6"/>
  <c r="L11" i="6"/>
  <c r="G11" i="6"/>
  <c r="N12" i="6"/>
  <c r="L12" i="6"/>
  <c r="G12" i="6"/>
  <c r="N13" i="6"/>
  <c r="L13" i="6"/>
  <c r="G13" i="6"/>
  <c r="N14" i="6"/>
  <c r="L14" i="6"/>
  <c r="G14" i="6"/>
  <c r="F15" i="6"/>
  <c r="J15" i="6"/>
  <c r="N15" i="6"/>
  <c r="L15" i="6"/>
  <c r="N16" i="6"/>
  <c r="L16" i="6"/>
  <c r="N17" i="6"/>
  <c r="L17" i="6"/>
  <c r="N18" i="6"/>
  <c r="L18" i="6"/>
  <c r="N19" i="6"/>
  <c r="L19" i="6"/>
  <c r="G19" i="6"/>
  <c r="N20" i="6"/>
  <c r="L20" i="6"/>
  <c r="G20" i="6"/>
  <c r="I20" i="6"/>
  <c r="N21" i="6"/>
  <c r="L21" i="6"/>
  <c r="G21" i="6"/>
  <c r="H21" i="6"/>
  <c r="N22" i="6"/>
  <c r="L22" i="6"/>
  <c r="G22" i="6"/>
  <c r="N23" i="6"/>
  <c r="L23" i="6"/>
  <c r="G23" i="6"/>
  <c r="N24" i="6"/>
  <c r="L24" i="6"/>
  <c r="G24" i="6"/>
  <c r="H24" i="6"/>
  <c r="N25" i="6"/>
  <c r="L25" i="6"/>
  <c r="G25" i="6"/>
  <c r="N26" i="6"/>
  <c r="L26" i="6"/>
  <c r="G26" i="6"/>
  <c r="C26" i="6"/>
  <c r="N27" i="6"/>
  <c r="L27" i="6"/>
  <c r="G27" i="6"/>
  <c r="N28" i="6"/>
  <c r="L28" i="6"/>
  <c r="G28" i="6"/>
  <c r="N29" i="6"/>
  <c r="L29" i="6"/>
  <c r="G29" i="6"/>
  <c r="I29" i="6"/>
  <c r="N30" i="6"/>
  <c r="L30" i="6"/>
  <c r="G30" i="6"/>
  <c r="M31" i="6"/>
  <c r="N31" i="6"/>
  <c r="L31" i="6"/>
  <c r="G31" i="6"/>
  <c r="H31" i="6"/>
  <c r="N32" i="6"/>
  <c r="L32" i="6"/>
  <c r="G32" i="6"/>
  <c r="N33" i="6"/>
  <c r="L33" i="6"/>
  <c r="G33" i="6"/>
  <c r="N34" i="6"/>
  <c r="L34" i="6"/>
  <c r="G34" i="6"/>
  <c r="N35" i="6"/>
  <c r="L35" i="6"/>
  <c r="G35" i="6"/>
  <c r="N36" i="6"/>
  <c r="L36" i="6"/>
  <c r="G36" i="6"/>
  <c r="N37" i="6"/>
  <c r="L37" i="6"/>
  <c r="G37" i="6"/>
  <c r="N38" i="6"/>
  <c r="L38" i="6"/>
  <c r="G38" i="6"/>
  <c r="N39" i="6"/>
  <c r="L39" i="6"/>
  <c r="G39" i="6"/>
  <c r="C39" i="6"/>
  <c r="N40" i="6"/>
  <c r="L40" i="6"/>
  <c r="G40" i="6"/>
  <c r="N41" i="6"/>
  <c r="L41" i="6"/>
  <c r="G41" i="6"/>
  <c r="N42" i="6"/>
  <c r="L42" i="6"/>
  <c r="G42" i="6"/>
  <c r="I42" i="6"/>
  <c r="N43" i="6"/>
  <c r="L43" i="6"/>
  <c r="G43" i="6"/>
  <c r="H43" i="6"/>
  <c r="N44" i="6"/>
  <c r="L44" i="6"/>
  <c r="G44" i="6"/>
  <c r="N45" i="6"/>
  <c r="L45" i="6"/>
  <c r="G45" i="6"/>
  <c r="N46" i="6"/>
  <c r="L46" i="6"/>
  <c r="G46" i="6"/>
  <c r="N47" i="6"/>
  <c r="L47" i="6"/>
  <c r="G47" i="6"/>
  <c r="N48" i="6"/>
  <c r="L48" i="6"/>
  <c r="G48" i="6"/>
  <c r="F49" i="6"/>
  <c r="J49" i="6"/>
  <c r="J51" i="6"/>
  <c r="M49" i="6"/>
  <c r="N53" i="6"/>
  <c r="N55" i="6"/>
  <c r="N4" i="9"/>
  <c r="L4" i="9"/>
  <c r="G4" i="9"/>
  <c r="N5" i="9"/>
  <c r="L5" i="9"/>
  <c r="G5" i="9"/>
  <c r="H5" i="9"/>
  <c r="N6" i="9"/>
  <c r="L6" i="9"/>
  <c r="G6" i="9"/>
  <c r="H6" i="9"/>
  <c r="N7" i="9"/>
  <c r="L7" i="9"/>
  <c r="G7" i="9"/>
  <c r="N8" i="9"/>
  <c r="L8" i="9"/>
  <c r="G8" i="9"/>
  <c r="C8" i="9"/>
  <c r="N9" i="9"/>
  <c r="L9" i="9"/>
  <c r="G9" i="9"/>
  <c r="N10" i="9"/>
  <c r="L10" i="9"/>
  <c r="G10" i="9"/>
  <c r="N11" i="9"/>
  <c r="L11" i="9"/>
  <c r="G11" i="9"/>
  <c r="C11" i="9"/>
  <c r="N12" i="9"/>
  <c r="L12" i="9"/>
  <c r="G12" i="9"/>
  <c r="N13" i="9"/>
  <c r="L13" i="9"/>
  <c r="G13" i="9"/>
  <c r="N14" i="9"/>
  <c r="L14" i="9"/>
  <c r="G14" i="9"/>
  <c r="F15" i="9"/>
  <c r="J15" i="9"/>
  <c r="N15" i="9"/>
  <c r="L15" i="9"/>
  <c r="N16" i="9"/>
  <c r="L16" i="9"/>
  <c r="N17" i="9"/>
  <c r="L17" i="9"/>
  <c r="N18" i="9"/>
  <c r="L18" i="9"/>
  <c r="N19" i="9"/>
  <c r="L19" i="9"/>
  <c r="G19" i="9"/>
  <c r="N20" i="9"/>
  <c r="L20" i="9"/>
  <c r="G20" i="9"/>
  <c r="H20" i="9"/>
  <c r="N21" i="9"/>
  <c r="L21" i="9"/>
  <c r="G21" i="9"/>
  <c r="I21" i="9"/>
  <c r="N22" i="9"/>
  <c r="L22" i="9"/>
  <c r="G22" i="9"/>
  <c r="C22" i="9"/>
  <c r="N23" i="9"/>
  <c r="L23" i="9"/>
  <c r="G23" i="9"/>
  <c r="N24" i="9"/>
  <c r="L24" i="9"/>
  <c r="G24" i="9"/>
  <c r="C24" i="9"/>
  <c r="N25" i="9"/>
  <c r="L25" i="9"/>
  <c r="G25" i="9"/>
  <c r="I25" i="9"/>
  <c r="N26" i="9"/>
  <c r="L26" i="9"/>
  <c r="G26" i="9"/>
  <c r="N27" i="9"/>
  <c r="L27" i="9"/>
  <c r="G27" i="9"/>
  <c r="C28" i="9"/>
  <c r="H28" i="9"/>
  <c r="I28" i="9"/>
  <c r="N28" i="9"/>
  <c r="L28" i="9"/>
  <c r="N29" i="9"/>
  <c r="L29" i="9"/>
  <c r="G29" i="9"/>
  <c r="N30" i="9"/>
  <c r="L30" i="9"/>
  <c r="G30" i="9"/>
  <c r="I30" i="9"/>
  <c r="M31" i="9"/>
  <c r="M49" i="9"/>
  <c r="N31" i="9"/>
  <c r="L31" i="9"/>
  <c r="G31" i="9"/>
  <c r="N32" i="9"/>
  <c r="L32" i="9"/>
  <c r="G32" i="9"/>
  <c r="I32" i="9"/>
  <c r="N33" i="9"/>
  <c r="L33" i="9"/>
  <c r="G33" i="9"/>
  <c r="C34" i="9"/>
  <c r="H34" i="9"/>
  <c r="I34" i="9"/>
  <c r="N34" i="9"/>
  <c r="L34" i="9"/>
  <c r="N35" i="9"/>
  <c r="L35" i="9"/>
  <c r="G35" i="9"/>
  <c r="H35" i="9"/>
  <c r="N36" i="9"/>
  <c r="L36" i="9"/>
  <c r="G36" i="9"/>
  <c r="N37" i="9"/>
  <c r="L37" i="9"/>
  <c r="G37" i="9"/>
  <c r="N38" i="9"/>
  <c r="L38" i="9"/>
  <c r="G38" i="9"/>
  <c r="N39" i="9"/>
  <c r="L39" i="9"/>
  <c r="G39" i="9"/>
  <c r="N40" i="9"/>
  <c r="L40" i="9"/>
  <c r="G40" i="9"/>
  <c r="N41" i="9"/>
  <c r="L41" i="9"/>
  <c r="G41" i="9"/>
  <c r="N42" i="9"/>
  <c r="L42" i="9"/>
  <c r="G42" i="9"/>
  <c r="N43" i="9"/>
  <c r="L43" i="9"/>
  <c r="G43" i="9"/>
  <c r="N44" i="9"/>
  <c r="L44" i="9"/>
  <c r="G44" i="9"/>
  <c r="C44" i="9"/>
  <c r="N45" i="9"/>
  <c r="L45" i="9"/>
  <c r="G45" i="9"/>
  <c r="N46" i="9"/>
  <c r="L46" i="9"/>
  <c r="G46" i="9"/>
  <c r="N47" i="9"/>
  <c r="L47" i="9"/>
  <c r="G47" i="9"/>
  <c r="N48" i="9"/>
  <c r="L48" i="9"/>
  <c r="G48" i="9"/>
  <c r="F49" i="9"/>
  <c r="J49" i="9"/>
  <c r="J51" i="9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/>
  <c r="N56" i="6"/>
  <c r="I11" i="6"/>
  <c r="H25" i="6"/>
  <c r="I6" i="9"/>
  <c r="C6" i="9"/>
  <c r="G15" i="9"/>
  <c r="I23" i="6"/>
  <c r="I7" i="6"/>
  <c r="C7" i="6"/>
  <c r="H4" i="6"/>
  <c r="H15" i="6"/>
  <c r="I4" i="6"/>
  <c r="G15" i="6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/>
  <c r="G51" i="6"/>
  <c r="G53" i="6"/>
  <c r="N54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C31" i="9"/>
  <c r="H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H51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H51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4" i="1" l="1"/>
  <c r="F3" i="13"/>
  <c r="D13" i="13"/>
  <c r="D3" i="13" s="1"/>
  <c r="B21" i="3" l="1"/>
  <c r="B25" i="3" s="1"/>
  <c r="C28" i="3" s="1"/>
  <c r="C30" i="3" s="1"/>
  <c r="C42" i="3" s="1"/>
  <c r="D115" i="13"/>
</calcChain>
</file>

<file path=xl/comments1.xml><?xml version="1.0" encoding="utf-8"?>
<comments xmlns="http://schemas.openxmlformats.org/spreadsheetml/2006/main">
  <authors>
    <author>Anna Mizerska</author>
  </authors>
  <commentList>
    <comment ref="D78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No budget? Is it the right code?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John Phillips:</t>
        </r>
        <r>
          <rPr>
            <sz val="9"/>
            <color indexed="81"/>
            <rFont val="Tahoma"/>
            <family val="2"/>
          </rPr>
          <t xml:space="preserve">
Rollover adjustment
</t>
        </r>
      </text>
    </comment>
  </commentList>
</comments>
</file>

<file path=xl/sharedStrings.xml><?xml version="1.0" encoding="utf-8"?>
<sst xmlns="http://schemas.openxmlformats.org/spreadsheetml/2006/main" count="2773" uniqueCount="1065">
  <si>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</si>
  <si>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</si>
  <si>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</si>
  <si>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</si>
  <si>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</si>
  <si>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</si>
  <si>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</si>
  <si>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</si>
  <si>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</si>
  <si>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</si>
  <si>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</si>
  <si>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</si>
  <si>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</si>
  <si>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</si>
  <si>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</si>
  <si>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</si>
  <si>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</si>
  <si>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</si>
  <si>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</si>
  <si>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</si>
  <si>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</si>
  <si>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</si>
  <si>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</si>
  <si>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</si>
  <si>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</si>
  <si>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</si>
  <si>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</si>
  <si>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</si>
  <si>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</si>
  <si>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</si>
  <si>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</si>
  <si>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</si>
  <si>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</si>
  <si>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</si>
  <si>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</si>
  <si>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</si>
  <si>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</si>
  <si>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</si>
  <si>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</si>
  <si>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</si>
  <si>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</si>
  <si>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</si>
  <si>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</si>
  <si>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</si>
  <si>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</si>
  <si>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</si>
  <si>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</si>
  <si>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</si>
  <si>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</si>
  <si>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</si>
  <si>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</si>
  <si>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</si>
  <si>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</si>
  <si>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</si>
  <si>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</si>
  <si>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</si>
  <si>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</si>
  <si>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</si>
  <si>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</si>
  <si>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</si>
  <si>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</si>
  <si>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</si>
  <si>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</si>
  <si>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</si>
  <si>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</si>
  <si>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</si>
  <si>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</si>
  <si>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</si>
  <si>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</si>
  <si>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</si>
  <si>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</si>
  <si>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</si>
  <si>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</si>
  <si>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</si>
  <si>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</si>
  <si>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</si>
  <si>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</si>
  <si>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</si>
  <si>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</si>
  <si>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</si>
  <si>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</si>
  <si>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</si>
  <si>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</si>
  <si>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</si>
  <si>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</si>
  <si>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</si>
  <si>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</si>
  <si>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</si>
  <si>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</si>
  <si>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</si>
  <si>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</si>
  <si>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</si>
  <si>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</si>
  <si>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</si>
  <si>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</si>
  <si>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</si>
  <si>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</si>
  <si>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</si>
  <si>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</si>
  <si>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</si>
  <si>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</si>
  <si>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</si>
  <si>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</si>
  <si>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</si>
  <si>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</si>
  <si>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</si>
  <si>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</si>
  <si>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</si>
  <si>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</si>
  <si>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</si>
  <si>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</si>
  <si>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</si>
  <si>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</si>
  <si>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</si>
  <si>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</si>
  <si>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</si>
  <si>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</si>
  <si>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</si>
  <si>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</si>
  <si>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</si>
  <si>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</si>
  <si>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</si>
  <si>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</si>
  <si>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</si>
  <si>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</si>
  <si>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</si>
  <si>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</si>
  <si>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</si>
  <si>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</si>
  <si>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</si>
  <si>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</si>
  <si>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</si>
  <si>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</si>
  <si>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</si>
  <si>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</si>
  <si>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</si>
  <si>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</si>
  <si>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</si>
  <si>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</si>
  <si>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</si>
  <si>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</si>
  <si>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</si>
  <si>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</si>
  <si>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</si>
  <si>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</si>
  <si>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</si>
  <si>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</si>
  <si>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</si>
  <si>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</si>
  <si>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</si>
  <si>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</si>
  <si>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</si>
  <si>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</si>
  <si>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</si>
  <si>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</si>
  <si>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</si>
  <si>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</si>
  <si>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</si>
  <si>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</si>
  <si>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</si>
  <si>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</si>
  <si>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</si>
  <si>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</si>
  <si>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</si>
  <si>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</si>
  <si>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</si>
  <si>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</si>
  <si>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</si>
  <si>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</si>
  <si>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</si>
  <si>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</si>
  <si>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</si>
  <si>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</si>
  <si>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</si>
  <si>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</si>
  <si>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</si>
  <si>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</si>
  <si>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</si>
  <si>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</si>
  <si>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</si>
  <si>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</si>
  <si>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</si>
  <si>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</si>
  <si>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</si>
  <si>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</si>
  <si>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</si>
  <si>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</si>
  <si>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</si>
  <si>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</si>
  <si>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</si>
  <si>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</si>
  <si>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</si>
  <si>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</si>
  <si>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</si>
  <si>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</si>
  <si>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</si>
  <si>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</si>
  <si>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</si>
  <si>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</si>
  <si>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</si>
  <si>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</si>
  <si>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</si>
  <si>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</si>
  <si>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</si>
  <si>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</si>
  <si>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</si>
  <si>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</si>
  <si>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</si>
  <si>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</si>
  <si>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</si>
  <si>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</si>
  <si>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</si>
  <si>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</si>
  <si>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</si>
  <si>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</si>
  <si>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</si>
  <si>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</si>
  <si>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</si>
  <si>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</si>
  <si>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</si>
  <si>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</si>
  <si>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</si>
  <si>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</si>
  <si>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</si>
  <si>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</si>
  <si>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</si>
  <si>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</si>
  <si>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</si>
  <si>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</si>
  <si>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</si>
  <si>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</si>
  <si>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</si>
  <si>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</si>
  <si>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</si>
  <si>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</si>
  <si>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</si>
  <si>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</si>
  <si>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</si>
  <si>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</si>
  <si>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</si>
  <si>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</si>
  <si>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</si>
  <si>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</si>
  <si>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</si>
  <si>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</si>
  <si>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</si>
  <si>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</si>
  <si>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</si>
  <si>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</si>
  <si>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</si>
  <si>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</si>
  <si>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</si>
  <si>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</si>
  <si>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</si>
  <si>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</si>
  <si>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</si>
  <si>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</si>
  <si>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</si>
  <si>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</si>
  <si>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</si>
  <si>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</si>
  <si>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</si>
  <si>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</si>
  <si>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</si>
  <si>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</si>
  <si>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</si>
  <si>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</si>
  <si>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</si>
  <si>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</si>
  <si>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</si>
  <si>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</si>
  <si>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</si>
  <si>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</si>
  <si>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</si>
  <si>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</si>
  <si>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</si>
  <si>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</si>
  <si>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</si>
  <si>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</si>
  <si>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</si>
  <si>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</si>
  <si>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</si>
  <si>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</si>
  <si>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</si>
  <si>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</si>
  <si>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</si>
  <si>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</si>
  <si>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</si>
  <si>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</si>
  <si>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</si>
  <si>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</si>
  <si>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</si>
  <si>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</si>
  <si>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</si>
  <si>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</si>
  <si>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</si>
  <si>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</si>
  <si>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</si>
  <si>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</si>
  <si>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</si>
  <si>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</si>
  <si>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</si>
  <si>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</si>
  <si>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</si>
  <si>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</si>
  <si>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</si>
  <si>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</si>
  <si>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</si>
  <si>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</si>
  <si>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</si>
  <si>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</si>
  <si>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</si>
  <si>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</si>
  <si>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</si>
  <si>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</si>
  <si>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</si>
  <si>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</si>
  <si>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</si>
  <si>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</si>
  <si>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</si>
  <si>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</si>
  <si>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</si>
  <si>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</si>
  <si>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</si>
  <si>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</si>
  <si>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</si>
  <si>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</si>
  <si>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</si>
  <si>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</si>
  <si>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</si>
  <si>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</si>
  <si>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</si>
  <si>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</si>
  <si>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</si>
  <si>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</si>
  <si>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</si>
  <si>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</si>
  <si>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</si>
  <si>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</si>
  <si>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</si>
  <si>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</si>
  <si>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</si>
  <si>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</si>
  <si>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</si>
  <si>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</si>
  <si>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</si>
  <si>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</si>
  <si>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</si>
  <si>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</si>
  <si>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</si>
  <si>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</si>
  <si>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</si>
  <si>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</si>
  <si>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</si>
  <si>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</si>
  <si>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</si>
  <si>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</si>
  <si>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</si>
  <si>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</si>
  <si>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</si>
  <si>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</si>
  <si>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</si>
  <si>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</si>
  <si>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</si>
  <si>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</si>
  <si>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</si>
  <si>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</si>
  <si>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</si>
  <si>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</si>
  <si>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</si>
  <si>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</si>
  <si>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</si>
  <si>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</si>
  <si>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</si>
  <si>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</si>
  <si>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</si>
  <si>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</si>
  <si>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</si>
  <si>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</si>
  <si>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</si>
  <si>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</si>
  <si>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</si>
  <si>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</si>
  <si>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</si>
  <si>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</si>
  <si>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</si>
  <si>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</si>
  <si>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</si>
  <si>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</si>
  <si>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</si>
  <si>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</si>
  <si>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</si>
  <si>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</si>
  <si>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</si>
  <si>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</si>
  <si>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</si>
  <si>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</si>
  <si>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</si>
  <si>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</si>
  <si>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</si>
  <si>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</si>
  <si>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</si>
  <si>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</si>
  <si>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</si>
  <si>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</si>
  <si>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</si>
  <si>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</si>
  <si>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</si>
  <si>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</si>
  <si>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</si>
  <si>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</si>
  <si>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</si>
  <si>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</si>
  <si>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</si>
  <si>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</si>
  <si>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</si>
  <si>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</si>
  <si>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</si>
  <si>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</si>
  <si>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</si>
  <si>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</si>
  <si>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</si>
  <si>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</si>
  <si>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</si>
  <si>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</si>
  <si>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</si>
  <si>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</si>
  <si>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</si>
  <si>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</si>
  <si>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</si>
  <si>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</si>
  <si>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</si>
  <si>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</si>
  <si>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</si>
  <si>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</si>
  <si>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</si>
  <si>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</si>
  <si>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</si>
  <si>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</si>
  <si>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</si>
  <si>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</si>
  <si>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</si>
  <si>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</si>
  <si>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</si>
  <si>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</si>
  <si>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</si>
  <si>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</si>
  <si>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</si>
  <si>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</si>
  <si>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</si>
  <si>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</si>
  <si>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</si>
  <si>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</si>
  <si>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</si>
  <si>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</si>
  <si>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</si>
  <si>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</si>
  <si>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</si>
  <si>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</si>
  <si>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</si>
  <si>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</si>
  <si>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</si>
  <si>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</si>
  <si>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</si>
  <si>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</si>
  <si>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</si>
  <si>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</si>
  <si>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</si>
  <si>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</si>
  <si>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</si>
  <si>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</si>
  <si>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</si>
  <si>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</si>
  <si>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</si>
  <si>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</si>
  <si>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</si>
  <si>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</si>
  <si>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</si>
  <si>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</si>
  <si>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</si>
  <si>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</si>
  <si>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</si>
  <si>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</si>
  <si>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</si>
  <si>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</si>
  <si>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</si>
  <si>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</si>
  <si>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</si>
  <si>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</si>
  <si>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</si>
  <si>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</si>
  <si>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</si>
  <si>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</si>
  <si>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</si>
  <si>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</si>
  <si>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</si>
  <si>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</si>
  <si>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</si>
  <si>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</si>
  <si>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</si>
  <si>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</si>
  <si>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</si>
  <si>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</si>
  <si>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</si>
  <si>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</si>
  <si>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</si>
  <si>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</si>
  <si>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</si>
  <si>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</si>
  <si>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</si>
  <si>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</si>
  <si>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</si>
  <si>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</si>
  <si>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</si>
  <si>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</si>
  <si>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</si>
  <si>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</si>
  <si>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</si>
  <si>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</si>
  <si>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</si>
  <si>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</si>
  <si>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</si>
  <si>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</si>
  <si>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</si>
  <si>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</si>
  <si>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</si>
  <si>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</si>
  <si>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</si>
  <si>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</si>
  <si>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</si>
  <si>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</si>
  <si>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</si>
  <si>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</si>
  <si>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</si>
  <si>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</si>
  <si>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</si>
  <si>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</si>
  <si>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</si>
  <si>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</si>
  <si>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</si>
  <si>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</si>
  <si>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</si>
  <si>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</si>
  <si>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</si>
  <si>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</si>
  <si>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</si>
  <si>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</si>
  <si>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</si>
  <si>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</si>
  <si>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</si>
  <si>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</si>
  <si>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</si>
  <si>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</si>
  <si>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</si>
  <si>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</si>
  <si>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</si>
  <si>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</si>
  <si>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</si>
  <si>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</si>
  <si>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</si>
  <si>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</si>
  <si>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</si>
  <si>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</si>
  <si>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</si>
  <si>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</si>
  <si>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</si>
  <si>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</si>
  <si>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</si>
  <si>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</si>
  <si>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</si>
  <si>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</si>
  <si>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</si>
  <si>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</si>
  <si>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</si>
  <si>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</si>
  <si>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</si>
  <si>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</si>
  <si>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</si>
  <si>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</si>
  <si>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</si>
  <si>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</si>
  <si>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</si>
  <si>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</si>
  <si>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</si>
  <si>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</si>
  <si>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</si>
  <si>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</si>
  <si>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</si>
  <si>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</si>
  <si>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</si>
  <si>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</si>
  <si>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</si>
  <si>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</si>
  <si>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</si>
  <si>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</si>
  <si>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</si>
  <si>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</si>
  <si>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</si>
  <si>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</si>
  <si>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</si>
  <si>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</si>
  <si>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</si>
  <si>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</si>
  <si>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</si>
  <si>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</si>
  <si>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</si>
  <si>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</si>
  <si>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</si>
  <si>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</si>
  <si>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</si>
  <si>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</si>
  <si>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</si>
  <si>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</si>
  <si>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</si>
  <si>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</si>
  <si>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</si>
  <si>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</si>
  <si>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</si>
  <si>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</si>
  <si>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</si>
  <si>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</si>
  <si>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</si>
  <si>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</si>
  <si>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</si>
  <si>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</si>
  <si>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</si>
  <si>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</si>
  <si>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</si>
  <si>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</si>
  <si>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</si>
  <si>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</si>
  <si>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</si>
  <si>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</si>
  <si>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</si>
  <si>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</si>
  <si>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</si>
  <si>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</si>
  <si>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</si>
  <si>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</si>
  <si>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</si>
  <si>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</si>
  <si>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</si>
  <si>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</si>
  <si>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</si>
  <si>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</si>
  <si>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</si>
  <si>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</si>
  <si>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</si>
  <si>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</si>
  <si>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</si>
  <si>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</si>
  <si>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</si>
  <si>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</si>
  <si>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</si>
  <si>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</si>
  <si>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</si>
  <si>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</si>
  <si>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</si>
  <si>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</si>
  <si>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</si>
  <si>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</si>
  <si>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</si>
  <si>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</si>
  <si>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</si>
  <si>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</si>
  <si>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</si>
  <si>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</si>
  <si>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</si>
  <si>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</si>
  <si>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</si>
  <si>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</si>
  <si>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</si>
  <si>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</si>
  <si>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</si>
  <si>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</si>
  <si>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</si>
  <si>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</si>
  <si>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</si>
  <si>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</si>
  <si>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</si>
  <si>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</si>
  <si>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</si>
  <si>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</si>
  <si>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</si>
  <si>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</si>
  <si>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</si>
  <si>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</si>
  <si>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</si>
  <si>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</si>
  <si>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</si>
  <si>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</si>
  <si>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</si>
  <si>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</si>
  <si>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</si>
  <si>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</si>
  <si>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</si>
  <si>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</si>
  <si>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</si>
  <si>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</si>
  <si>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</si>
  <si>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</si>
  <si>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</si>
  <si>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</si>
  <si>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</si>
  <si>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</si>
  <si>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</si>
  <si>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</si>
  <si>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</si>
  <si>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</si>
  <si>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</si>
  <si>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</si>
  <si>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</si>
  <si>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</si>
  <si>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</si>
  <si>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</si>
  <si>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</si>
  <si>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</si>
  <si>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</si>
  <si>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</si>
  <si>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</si>
  <si>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</si>
  <si>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</si>
  <si>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</si>
  <si>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</si>
  <si>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</si>
  <si>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</si>
  <si>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</si>
  <si>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</si>
  <si>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</si>
  <si>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</si>
  <si>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</si>
  <si>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</si>
  <si>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</si>
  <si>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</si>
  <si>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</si>
  <si>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</si>
  <si>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</si>
  <si>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</si>
  <si>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</si>
  <si>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</si>
  <si>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</si>
  <si>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</si>
  <si>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</si>
  <si>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</si>
  <si>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</si>
  <si>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</si>
  <si>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</si>
  <si>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</si>
  <si>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</si>
  <si>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</si>
  <si>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</si>
  <si>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</si>
  <si>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</si>
  <si>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</si>
  <si>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</si>
  <si>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</si>
  <si>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</si>
  <si>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</si>
  <si>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</si>
  <si>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</si>
  <si>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</si>
  <si>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</si>
  <si>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</si>
  <si>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</si>
  <si>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</si>
  <si>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</si>
  <si>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</si>
  <si>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</si>
  <si>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</si>
  <si>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</si>
  <si>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</si>
  <si>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</si>
  <si>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</si>
  <si>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</si>
  <si>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</si>
  <si>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</si>
  <si>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</si>
  <si>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</si>
  <si>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</si>
  <si>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</si>
  <si>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</si>
  <si>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</si>
  <si>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</si>
  <si>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</si>
  <si>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</si>
  <si>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</si>
  <si>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</si>
  <si>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</si>
  <si>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</si>
  <si>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</si>
  <si>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</si>
  <si>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</si>
  <si>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</si>
  <si>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</si>
  <si>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</si>
  <si>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</si>
  <si>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</si>
  <si>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</si>
  <si>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</si>
  <si>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</si>
  <si>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</si>
  <si>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</si>
  <si>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</si>
  <si>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</si>
  <si>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</si>
  <si>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</si>
  <si>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</si>
  <si>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</si>
  <si>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</si>
  <si>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</si>
  <si>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</si>
  <si>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</si>
  <si>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</si>
  <si>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</si>
  <si>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</si>
  <si>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</si>
  <si>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</si>
  <si>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</si>
  <si>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</si>
  <si>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</si>
  <si>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</si>
  <si>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</si>
  <si>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</si>
  <si>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</si>
  <si>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</si>
  <si>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</si>
  <si>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</si>
  <si>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</si>
  <si>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</si>
  <si>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</si>
  <si>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</si>
  <si>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</si>
  <si>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</si>
  <si>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</si>
  <si>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</si>
  <si>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</si>
  <si>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</si>
  <si>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</si>
  <si>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</si>
  <si>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</si>
  <si>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</si>
  <si>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</si>
  <si>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</si>
  <si>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</si>
  <si>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</si>
  <si>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</si>
  <si>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</si>
  <si>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</si>
  <si>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</si>
  <si>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</si>
  <si>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</si>
  <si>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</si>
  <si>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</si>
  <si>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</si>
  <si>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</si>
  <si>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</si>
  <si>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</si>
  <si>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</si>
  <si>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</si>
  <si>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</si>
  <si>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</si>
  <si>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</si>
  <si>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</si>
  <si>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</si>
  <si>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</si>
  <si>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</si>
  <si>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</si>
  <si>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</si>
  <si>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</si>
  <si>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</si>
  <si>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</si>
  <si>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</si>
  <si>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</si>
  <si>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</si>
  <si>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</si>
  <si>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</si>
  <si>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</si>
  <si>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</si>
  <si>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</si>
  <si>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</si>
  <si>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</si>
  <si>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</si>
  <si>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</si>
  <si>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</si>
  <si>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</si>
  <si>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</si>
  <si>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</si>
  <si>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</si>
  <si>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</si>
  <si>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</si>
  <si>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</si>
  <si>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</si>
  <si>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</si>
  <si>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</si>
  <si>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</si>
  <si>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</si>
  <si>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</si>
  <si>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</si>
  <si>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</si>
  <si>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</si>
  <si>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</si>
  <si>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</si>
  <si>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</si>
  <si>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</si>
  <si>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</si>
  <si>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</si>
  <si>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</si>
  <si>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</si>
  <si>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</si>
  <si>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</si>
  <si>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</si>
  <si>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</si>
  <si>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</si>
  <si>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</si>
  <si>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</si>
  <si>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</si>
  <si>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</si>
  <si>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</si>
  <si>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</si>
  <si>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</si>
  <si>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</si>
  <si>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</si>
  <si>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</si>
  <si>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</si>
  <si>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</si>
  <si>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</si>
  <si>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</si>
  <si>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</si>
  <si>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</si>
  <si>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</si>
  <si>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</si>
  <si>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</si>
  <si>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</si>
  <si>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</si>
  <si>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</si>
  <si>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</si>
  <si>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</si>
  <si>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</si>
  <si>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</si>
  <si>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</si>
  <si>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</si>
  <si>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</si>
  <si>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</si>
  <si>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</si>
  <si>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</si>
  <si>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</si>
  <si>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</si>
  <si>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</si>
  <si>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</si>
  <si>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</si>
  <si>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</si>
  <si>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</si>
  <si>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</si>
  <si>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</si>
  <si>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</si>
  <si>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</si>
  <si>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</si>
  <si>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</si>
  <si>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</si>
  <si>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</si>
  <si>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</si>
  <si>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</si>
  <si>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</si>
  <si>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</si>
  <si>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</si>
  <si>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</si>
  <si>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</si>
  <si>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</si>
  <si>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</si>
  <si>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</si>
  <si>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</si>
  <si>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</si>
  <si>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</si>
  <si>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</si>
  <si>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</si>
  <si>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</si>
  <si>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</si>
  <si>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</si>
  <si>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</si>
  <si>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</si>
  <si>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</si>
  <si>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</si>
  <si>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</si>
  <si>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</si>
  <si>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</si>
  <si>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</si>
  <si>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</si>
  <si>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</si>
  <si>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</si>
  <si>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</si>
  <si>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</si>
  <si>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</si>
  <si>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</si>
  <si>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</si>
  <si>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</si>
  <si>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</si>
  <si>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</si>
  <si>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</si>
  <si>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</si>
  <si>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</si>
  <si>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</si>
  <si>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</si>
  <si>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</si>
  <si>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</si>
  <si>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</si>
  <si>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</si>
  <si>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</si>
  <si>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</si>
  <si>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%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</si>
  <si>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</si>
  <si>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</si>
  <si>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</si>
  <si>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</si>
  <si>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</si>
  <si>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</si>
  <si>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</si>
  <si>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</si>
  <si>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</si>
  <si>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</si>
  <si>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</si>
  <si>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</si>
  <si>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</si>
  <si>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VAT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</si>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</sst>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#,##0.0000"/>
    <numFmt numFmtId="171" formatCode="\ #,##0_);[Red]\(#,##0\);\ &quot;-&quot;_);_-@_-"/>
    <numFmt numFmtId="172" formatCode="_-* #,##0_-;\-* #,##0_-;_-* &quot;-&quot;??_-;_-@_-"/>
    <numFmt numFmtId="173" formatCode="_(\ #,##0.00_);\(* #,##0.00\);\ &quot;-&quot;_);_-@_-"/>
    <numFmt numFmtId="174" formatCode="mmmm\ yyyy"/>
    <numFmt numFmtId="175" formatCode="&quot;£&quot;#,##0.00;\(&quot;£&quot;#,##0.00\)"/>
    <numFmt numFmtId="176" formatCode="\ #,##0_);[Red]\(* #,##0\);\ &quot;-&quot;_);_-@_-"/>
    <numFmt numFmtId="177" formatCode="#,##0.00;[Red]\(#,##0.00\)"/>
    <numFmt numFmtId="178" formatCode="#,##0.00000"/>
    <numFmt numFmtId="179" formatCode="&quot;£&quot;#,##0;[Red]\(&quot;£&quot;#,##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8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47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0" fontId="0" fillId="0" borderId="0" xfId="0" applyNumberFormat="1"/>
    <xf numFmtId="170" fontId="153" fillId="0" borderId="0" xfId="0" applyNumberFormat="1" applyFont="1" applyFill="1" applyBorder="1"/>
    <xf numFmtId="43" fontId="0" fillId="0" borderId="0" xfId="11177" applyFont="1" applyFill="1"/>
    <xf numFmtId="0" fontId="186" fillId="0" borderId="0" xfId="0" applyFont="1"/>
    <xf numFmtId="1" fontId="186" fillId="0" borderId="0" xfId="0" applyNumberFormat="1" applyFont="1"/>
    <xf numFmtId="0" fontId="187" fillId="0" borderId="0" xfId="0" applyFont="1"/>
    <xf numFmtId="0" fontId="187" fillId="0" borderId="0" xfId="0" applyFont="1" applyBorder="1"/>
    <xf numFmtId="0" fontId="186" fillId="0" borderId="0" xfId="0" applyFont="1" applyAlignment="1">
      <alignment vertical="top"/>
    </xf>
    <xf numFmtId="0" fontId="186" fillId="0" borderId="0" xfId="0" applyFont="1" applyBorder="1"/>
    <xf numFmtId="0" fontId="186" fillId="0" borderId="0" xfId="0" applyFont="1" applyFill="1" applyBorder="1"/>
    <xf numFmtId="4" fontId="186" fillId="0" borderId="0" xfId="0" applyNumberFormat="1" applyFont="1"/>
    <xf numFmtId="164" fontId="186" fillId="0" borderId="0" xfId="0" applyNumberFormat="1" applyFont="1"/>
    <xf numFmtId="9" fontId="186" fillId="0" borderId="0" xfId="11179" applyFont="1" applyBorder="1"/>
    <xf numFmtId="172" fontId="0" fillId="0" borderId="0" xfId="11177" applyNumberFormat="1" applyFont="1" applyFill="1"/>
    <xf numFmtId="173" fontId="0" fillId="0" borderId="0" xfId="0" applyNumberFormat="1"/>
    <xf numFmtId="173" fontId="0" fillId="0" borderId="0" xfId="0" applyNumberFormat="1" applyFill="1"/>
    <xf numFmtId="173" fontId="0" fillId="0" borderId="0" xfId="0" applyNumberFormat="1" applyFill="1" applyBorder="1"/>
    <xf numFmtId="173" fontId="0" fillId="0" borderId="8" xfId="0" applyNumberFormat="1" applyBorder="1"/>
    <xf numFmtId="173" fontId="194" fillId="0" borderId="7" xfId="0" applyNumberFormat="1" applyFont="1" applyBorder="1" applyAlignment="1">
      <alignment horizontal="right"/>
    </xf>
    <xf numFmtId="175" fontId="189" fillId="0" borderId="1" xfId="798" applyNumberFormat="1" applyFont="1" applyFill="1" applyBorder="1"/>
    <xf numFmtId="175" fontId="186" fillId="0" borderId="1" xfId="798" applyNumberFormat="1" applyFont="1" applyFill="1" applyBorder="1"/>
    <xf numFmtId="0" fontId="199" fillId="0" borderId="13" xfId="0" applyFont="1" applyFill="1" applyBorder="1" applyAlignment="1" applyProtection="1">
      <alignment horizontal="left" vertical="center"/>
      <protection locked="0"/>
    </xf>
    <xf numFmtId="0" fontId="199" fillId="0" borderId="13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Border="1" applyAlignment="1" applyProtection="1">
      <alignment horizontal="center" vertical="center"/>
      <protection locked="0"/>
    </xf>
    <xf numFmtId="0" fontId="200" fillId="0" borderId="0" xfId="0" applyFont="1" applyFill="1" applyAlignment="1" applyProtection="1">
      <alignment vertical="center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2" fillId="0" borderId="0" xfId="0" applyFont="1" applyFill="1" applyBorder="1" applyAlignment="1" applyProtection="1">
      <alignment horizontal="left" vertical="center" wrapText="1"/>
      <protection locked="0"/>
    </xf>
    <xf numFmtId="0" fontId="204" fillId="0" borderId="0" xfId="0" applyFont="1" applyFill="1" applyAlignment="1" applyProtection="1">
      <alignment vertical="center"/>
      <protection locked="0"/>
    </xf>
    <xf numFmtId="0" fontId="205" fillId="0" borderId="13" xfId="0" applyFont="1" applyFill="1" applyBorder="1" applyAlignment="1" applyProtection="1">
      <alignment horizontal="left" vertical="center" wrapText="1"/>
      <protection locked="0"/>
    </xf>
    <xf numFmtId="0" fontId="202" fillId="0" borderId="13" xfId="0" applyFont="1" applyFill="1" applyBorder="1" applyAlignment="1" applyProtection="1">
      <alignment horizontal="left" vertical="center" wrapText="1"/>
      <protection locked="0"/>
    </xf>
    <xf numFmtId="4" fontId="203" fillId="0" borderId="39" xfId="0" applyNumberFormat="1" applyFont="1" applyFill="1" applyBorder="1" applyAlignment="1" applyProtection="1">
      <alignment horizontal="center" vertical="center"/>
      <protection locked="0"/>
    </xf>
    <xf numFmtId="0" fontId="204" fillId="0" borderId="0" xfId="0" applyFont="1" applyFill="1" applyAlignment="1" applyProtection="1">
      <alignment horizontal="left" vertical="center"/>
      <protection locked="0"/>
    </xf>
    <xf numFmtId="0" fontId="204" fillId="0" borderId="0" xfId="798" applyFont="1" applyFill="1" applyAlignment="1" applyProtection="1">
      <alignment horizontal="left" vertical="center"/>
      <protection locked="0"/>
    </xf>
    <xf numFmtId="173" fontId="204" fillId="0" borderId="0" xfId="11177" applyNumberFormat="1" applyFont="1" applyFill="1" applyAlignment="1" applyProtection="1">
      <alignment horizontal="right" vertical="center"/>
      <protection locked="0"/>
    </xf>
    <xf numFmtId="0" fontId="204" fillId="0" borderId="0" xfId="798" applyFont="1" applyAlignment="1" applyProtection="1">
      <alignment horizontal="left" vertical="center"/>
      <protection locked="0"/>
    </xf>
    <xf numFmtId="4" fontId="204" fillId="0" borderId="0" xfId="0" applyNumberFormat="1" applyFont="1" applyFill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horizontal="left" vertical="center"/>
      <protection locked="0"/>
    </xf>
    <xf numFmtId="0" fontId="204" fillId="0" borderId="0" xfId="798" applyFont="1" applyFill="1" applyBorder="1" applyAlignment="1" applyProtection="1">
      <alignment horizontal="left" vertical="center"/>
      <protection locked="0"/>
    </xf>
    <xf numFmtId="173" fontId="204" fillId="0" borderId="0" xfId="11177" applyNumberFormat="1" applyFont="1" applyFill="1" applyBorder="1" applyAlignment="1" applyProtection="1">
      <alignment horizontal="right" vertical="center"/>
      <protection locked="0"/>
    </xf>
    <xf numFmtId="0" fontId="204" fillId="0" borderId="13" xfId="0" applyFont="1" applyFill="1" applyBorder="1" applyAlignment="1" applyProtection="1">
      <alignment horizontal="left" vertical="center"/>
      <protection locked="0"/>
    </xf>
    <xf numFmtId="0" fontId="204" fillId="0" borderId="13" xfId="798" applyFont="1" applyFill="1" applyBorder="1" applyAlignment="1" applyProtection="1">
      <alignment horizontal="left" vertical="center"/>
      <protection locked="0"/>
    </xf>
    <xf numFmtId="173" fontId="204" fillId="0" borderId="13" xfId="11177" applyNumberFormat="1" applyFont="1" applyFill="1" applyBorder="1" applyAlignment="1" applyProtection="1">
      <alignment horizontal="right" vertical="center"/>
      <protection locked="0"/>
    </xf>
    <xf numFmtId="0" fontId="204" fillId="0" borderId="33" xfId="0" applyFont="1" applyFill="1" applyBorder="1" applyAlignment="1" applyProtection="1">
      <alignment horizontal="left" vertical="center"/>
      <protection locked="0"/>
    </xf>
    <xf numFmtId="0" fontId="204" fillId="0" borderId="33" xfId="798" applyFont="1" applyFill="1" applyBorder="1" applyAlignment="1" applyProtection="1">
      <alignment horizontal="left" vertical="center"/>
      <protection locked="0"/>
    </xf>
    <xf numFmtId="173" fontId="204" fillId="0" borderId="33" xfId="11177" applyNumberFormat="1" applyFont="1" applyFill="1" applyBorder="1" applyAlignment="1" applyProtection="1">
      <alignment horizontal="right" vertical="center"/>
      <protection locked="0"/>
    </xf>
    <xf numFmtId="173" fontId="204" fillId="0" borderId="0" xfId="0" applyNumberFormat="1" applyFont="1" applyFill="1" applyAlignment="1" applyProtection="1">
      <alignment vertical="center"/>
      <protection locked="0"/>
    </xf>
    <xf numFmtId="173" fontId="204" fillId="0" borderId="33" xfId="0" applyNumberFormat="1" applyFont="1" applyFill="1" applyBorder="1" applyAlignment="1" applyProtection="1">
      <alignment vertical="center"/>
      <protection locked="0"/>
    </xf>
    <xf numFmtId="173" fontId="204" fillId="0" borderId="0" xfId="0" applyNumberFormat="1" applyFont="1" applyFill="1" applyBorder="1" applyAlignment="1" applyProtection="1">
      <alignment vertical="center"/>
      <protection locked="0"/>
    </xf>
    <xf numFmtId="173" fontId="204" fillId="0" borderId="41" xfId="11177" applyNumberFormat="1" applyFont="1" applyFill="1" applyBorder="1" applyAlignment="1" applyProtection="1">
      <alignment vertical="center"/>
    </xf>
    <xf numFmtId="173" fontId="204" fillId="0" borderId="44" xfId="11177" applyNumberFormat="1" applyFont="1" applyFill="1" applyBorder="1" applyAlignment="1" applyProtection="1">
      <alignment vertical="center"/>
    </xf>
    <xf numFmtId="173" fontId="204" fillId="0" borderId="33" xfId="11177" applyNumberFormat="1" applyFont="1" applyFill="1" applyBorder="1" applyAlignment="1" applyProtection="1">
      <alignment vertical="center"/>
    </xf>
    <xf numFmtId="173" fontId="204" fillId="0" borderId="13" xfId="11177" applyNumberFormat="1" applyFont="1" applyFill="1" applyBorder="1" applyAlignment="1" applyProtection="1">
      <alignment vertical="center"/>
    </xf>
    <xf numFmtId="177" fontId="199" fillId="0" borderId="13" xfId="0" applyNumberFormat="1" applyFont="1" applyFill="1" applyBorder="1" applyAlignment="1" applyProtection="1">
      <alignment horizontal="center" vertical="center"/>
      <protection locked="0"/>
    </xf>
    <xf numFmtId="177" fontId="201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204" fillId="0" borderId="13" xfId="11177" applyNumberFormat="1" applyFont="1" applyBorder="1" applyAlignment="1" applyProtection="1">
      <alignment horizontal="right" vertical="center"/>
      <protection locked="0"/>
    </xf>
    <xf numFmtId="177" fontId="204" fillId="0" borderId="0" xfId="11177" applyNumberFormat="1" applyFont="1" applyAlignment="1" applyProtection="1">
      <alignment horizontal="right" vertical="center"/>
      <protection locked="0"/>
    </xf>
    <xf numFmtId="177" fontId="204" fillId="0" borderId="33" xfId="11177" applyNumberFormat="1" applyFont="1" applyFill="1" applyBorder="1" applyAlignment="1" applyProtection="1">
      <alignment horizontal="right" vertical="center"/>
      <protection locked="0"/>
    </xf>
    <xf numFmtId="177" fontId="204" fillId="0" borderId="13" xfId="11177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Protection="1">
      <protection locked="0"/>
    </xf>
    <xf numFmtId="177" fontId="204" fillId="0" borderId="0" xfId="11177" applyNumberFormat="1" applyFont="1" applyFill="1" applyAlignment="1" applyProtection="1">
      <alignment horizontal="right" vertical="center"/>
      <protection locked="0"/>
    </xf>
    <xf numFmtId="177" fontId="204" fillId="0" borderId="0" xfId="0" applyNumberFormat="1" applyFont="1" applyFill="1" applyAlignment="1" applyProtection="1">
      <alignment vertical="center"/>
      <protection locked="0"/>
    </xf>
    <xf numFmtId="177" fontId="204" fillId="0" borderId="0" xfId="11177" applyNumberFormat="1" applyFont="1" applyAlignment="1" applyProtection="1">
      <alignment horizontal="right" vertical="center"/>
    </xf>
    <xf numFmtId="177" fontId="204" fillId="0" borderId="13" xfId="11177" applyNumberFormat="1" applyFont="1" applyBorder="1" applyAlignment="1" applyProtection="1">
      <alignment horizontal="right" vertical="center"/>
    </xf>
    <xf numFmtId="177" fontId="0" fillId="0" borderId="0" xfId="0" applyNumberFormat="1" applyProtection="1"/>
    <xf numFmtId="173" fontId="204" fillId="0" borderId="37" xfId="11177" applyNumberFormat="1" applyFont="1" applyFill="1" applyBorder="1" applyAlignment="1" applyProtection="1">
      <alignment horizontal="right" vertical="center"/>
      <protection locked="0"/>
    </xf>
    <xf numFmtId="173" fontId="204" fillId="0" borderId="28" xfId="11177" applyNumberFormat="1" applyFont="1" applyFill="1" applyBorder="1" applyAlignment="1" applyProtection="1">
      <alignment vertical="center"/>
    </xf>
    <xf numFmtId="177" fontId="199" fillId="0" borderId="30" xfId="0" applyNumberFormat="1" applyFont="1" applyFill="1" applyBorder="1" applyAlignment="1" applyProtection="1">
      <alignment vertical="center"/>
      <protection locked="0"/>
    </xf>
    <xf numFmtId="177" fontId="199" fillId="0" borderId="0" xfId="0" applyNumberFormat="1" applyFont="1" applyFill="1" applyBorder="1" applyAlignment="1" applyProtection="1">
      <alignment vertical="center"/>
      <protection locked="0"/>
    </xf>
    <xf numFmtId="177" fontId="206" fillId="38" borderId="40" xfId="0" applyNumberFormat="1" applyFont="1" applyFill="1" applyBorder="1" applyAlignment="1" applyProtection="1">
      <alignment vertical="center"/>
      <protection locked="0"/>
    </xf>
    <xf numFmtId="177" fontId="206" fillId="38" borderId="34" xfId="0" applyNumberFormat="1" applyFont="1" applyFill="1" applyBorder="1" applyAlignment="1" applyProtection="1">
      <alignment vertical="center"/>
      <protection locked="0"/>
    </xf>
    <xf numFmtId="177" fontId="206" fillId="38" borderId="35" xfId="0" applyNumberFormat="1" applyFont="1" applyFill="1" applyBorder="1" applyAlignment="1" applyProtection="1">
      <alignment vertical="center"/>
      <protection locked="0"/>
    </xf>
    <xf numFmtId="177" fontId="207" fillId="38" borderId="27" xfId="11177" applyNumberFormat="1" applyFont="1" applyFill="1" applyBorder="1" applyAlignment="1" applyProtection="1">
      <alignment vertical="center"/>
      <protection locked="0"/>
    </xf>
    <xf numFmtId="177" fontId="207" fillId="38" borderId="42" xfId="11177" applyNumberFormat="1" applyFont="1" applyFill="1" applyBorder="1" applyAlignment="1" applyProtection="1">
      <alignment vertical="center"/>
      <protection locked="0"/>
    </xf>
    <xf numFmtId="177" fontId="207" fillId="38" borderId="29" xfId="11177" applyNumberFormat="1" applyFont="1" applyFill="1" applyBorder="1" applyAlignment="1" applyProtection="1">
      <alignment vertical="center"/>
      <protection locked="0"/>
    </xf>
    <xf numFmtId="177" fontId="207" fillId="38" borderId="43" xfId="11177" applyNumberFormat="1" applyFont="1" applyFill="1" applyBorder="1" applyAlignment="1" applyProtection="1">
      <alignment vertical="center"/>
      <protection locked="0"/>
    </xf>
    <xf numFmtId="177" fontId="207" fillId="38" borderId="30" xfId="11177" applyNumberFormat="1" applyFont="1" applyFill="1" applyBorder="1" applyAlignment="1" applyProtection="1">
      <alignment vertical="center"/>
      <protection locked="0"/>
    </xf>
    <xf numFmtId="177" fontId="207" fillId="38" borderId="31" xfId="11177" applyNumberFormat="1" applyFont="1" applyFill="1" applyBorder="1" applyAlignment="1" applyProtection="1">
      <alignment vertical="center"/>
      <protection locked="0"/>
    </xf>
    <xf numFmtId="177" fontId="207" fillId="38" borderId="32" xfId="11177" applyNumberFormat="1" applyFont="1" applyFill="1" applyBorder="1" applyAlignment="1" applyProtection="1">
      <alignment vertical="center"/>
      <protection locked="0"/>
    </xf>
    <xf numFmtId="177" fontId="207" fillId="38" borderId="45" xfId="11177" applyNumberFormat="1" applyFont="1" applyFill="1" applyBorder="1" applyAlignment="1" applyProtection="1">
      <alignment vertical="center"/>
      <protection locked="0"/>
    </xf>
    <xf numFmtId="177" fontId="207" fillId="0" borderId="33" xfId="11177" applyNumberFormat="1" applyFont="1" applyFill="1" applyBorder="1" applyAlignment="1" applyProtection="1">
      <alignment vertical="center"/>
      <protection locked="0"/>
    </xf>
    <xf numFmtId="177" fontId="207" fillId="0" borderId="13" xfId="11177" applyNumberFormat="1" applyFont="1" applyFill="1" applyBorder="1" applyAlignment="1" applyProtection="1">
      <alignment vertical="center"/>
      <protection locked="0"/>
    </xf>
    <xf numFmtId="177" fontId="204" fillId="0" borderId="33" xfId="0" applyNumberFormat="1" applyFont="1" applyFill="1" applyBorder="1" applyAlignment="1" applyProtection="1">
      <alignment vertical="center"/>
      <protection locked="0"/>
    </xf>
    <xf numFmtId="177" fontId="204" fillId="0" borderId="0" xfId="0" applyNumberFormat="1" applyFont="1" applyFill="1" applyBorder="1" applyAlignment="1" applyProtection="1">
      <alignment vertical="center"/>
      <protection locked="0"/>
    </xf>
    <xf numFmtId="177" fontId="204" fillId="0" borderId="28" xfId="0" applyNumberFormat="1" applyFont="1" applyFill="1" applyBorder="1" applyAlignment="1" applyProtection="1">
      <alignment vertical="center"/>
      <protection locked="0"/>
    </xf>
    <xf numFmtId="177" fontId="204" fillId="0" borderId="30" xfId="0" applyNumberFormat="1" applyFont="1" applyFill="1" applyBorder="1" applyAlignment="1" applyProtection="1">
      <alignment vertical="center"/>
      <protection locked="0"/>
    </xf>
    <xf numFmtId="177" fontId="204" fillId="0" borderId="0" xfId="11177" applyNumberFormat="1" applyFont="1" applyFill="1" applyAlignment="1" applyProtection="1">
      <alignment horizontal="right" vertical="center"/>
    </xf>
    <xf numFmtId="177" fontId="0" fillId="0" borderId="0" xfId="0" applyNumberFormat="1" applyFill="1" applyProtection="1">
      <protection locked="0"/>
    </xf>
    <xf numFmtId="177" fontId="0" fillId="0" borderId="0" xfId="0" applyNumberFormat="1" applyFill="1" applyProtection="1"/>
    <xf numFmtId="177" fontId="153" fillId="0" borderId="0" xfId="0" applyNumberFormat="1" applyFont="1" applyProtection="1">
      <protection locked="0"/>
    </xf>
    <xf numFmtId="177" fontId="153" fillId="0" borderId="0" xfId="0" applyNumberFormat="1" applyFont="1" applyProtection="1"/>
    <xf numFmtId="177" fontId="153" fillId="0" borderId="13" xfId="0" applyNumberFormat="1" applyFont="1" applyBorder="1" applyProtection="1">
      <protection locked="0"/>
    </xf>
    <xf numFmtId="177" fontId="153" fillId="0" borderId="13" xfId="0" applyNumberFormat="1" applyFont="1" applyBorder="1" applyProtection="1"/>
    <xf numFmtId="173" fontId="0" fillId="38" borderId="3" xfId="0" applyNumberFormat="1" applyFill="1" applyBorder="1"/>
    <xf numFmtId="173" fontId="0" fillId="38" borderId="4" xfId="0" applyNumberFormat="1" applyFill="1" applyBorder="1"/>
    <xf numFmtId="173" fontId="153" fillId="38" borderId="3" xfId="0" applyNumberFormat="1" applyFont="1" applyFill="1" applyBorder="1"/>
    <xf numFmtId="173" fontId="153" fillId="38" borderId="4" xfId="0" applyNumberFormat="1" applyFont="1" applyFill="1" applyBorder="1"/>
    <xf numFmtId="173" fontId="0" fillId="38" borderId="5" xfId="0" applyNumberFormat="1" applyFill="1" applyBorder="1"/>
    <xf numFmtId="173" fontId="0" fillId="38" borderId="6" xfId="0" applyNumberFormat="1" applyFill="1" applyBorder="1"/>
    <xf numFmtId="173" fontId="209" fillId="38" borderId="4" xfId="0" applyNumberFormat="1" applyFont="1" applyFill="1" applyBorder="1"/>
    <xf numFmtId="173" fontId="194" fillId="38" borderId="7" xfId="0" applyNumberFormat="1" applyFont="1" applyFill="1" applyBorder="1" applyAlignment="1">
      <alignment horizontal="right"/>
    </xf>
    <xf numFmtId="173" fontId="0" fillId="38" borderId="8" xfId="0" applyNumberFormat="1" applyFill="1" applyBorder="1"/>
    <xf numFmtId="177" fontId="206" fillId="38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177" fontId="0" fillId="0" borderId="25" xfId="0" applyNumberFormat="1" applyBorder="1" applyAlignment="1">
      <alignment horizontal="center"/>
    </xf>
    <xf numFmtId="177" fontId="210" fillId="0" borderId="25" xfId="0" applyNumberFormat="1" applyFont="1" applyBorder="1" applyAlignment="1">
      <alignment horizontal="center"/>
    </xf>
    <xf numFmtId="177" fontId="0" fillId="41" borderId="25" xfId="0" applyNumberFormat="1" applyFill="1" applyBorder="1" applyAlignment="1">
      <alignment horizontal="center"/>
    </xf>
    <xf numFmtId="14" fontId="178" fillId="0" borderId="0" xfId="0" applyNumberFormat="1" applyFont="1" applyAlignment="1">
      <alignment horizontal="center"/>
    </xf>
    <xf numFmtId="177" fontId="178" fillId="0" borderId="0" xfId="11177" applyNumberFormat="1" applyFont="1" applyAlignment="1">
      <alignment horizontal="center"/>
    </xf>
    <xf numFmtId="177" fontId="178" fillId="0" borderId="0" xfId="0" applyNumberFormat="1" applyFont="1" applyAlignment="1">
      <alignment horizontal="center"/>
    </xf>
    <xf numFmtId="177" fontId="210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178" fillId="0" borderId="0" xfId="0" applyFont="1"/>
    <xf numFmtId="0" fontId="0" fillId="0" borderId="0" xfId="0" applyAlignment="1">
      <alignment horizontal="center"/>
    </xf>
    <xf numFmtId="177" fontId="0" fillId="0" borderId="0" xfId="11177" applyNumberFormat="1" applyFont="1" applyAlignment="1">
      <alignment horizontal="center"/>
    </xf>
    <xf numFmtId="177" fontId="178" fillId="42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41" borderId="0" xfId="0" applyNumberFormat="1" applyFill="1" applyAlignment="1">
      <alignment horizontal="center"/>
    </xf>
    <xf numFmtId="14" fontId="178" fillId="0" borderId="25" xfId="0" applyNumberFormat="1" applyFont="1" applyBorder="1" applyAlignment="1">
      <alignment horizontal="center"/>
    </xf>
    <xf numFmtId="177" fontId="178" fillId="0" borderId="25" xfId="11177" applyNumberFormat="1" applyFont="1" applyBorder="1" applyAlignment="1">
      <alignment horizontal="center"/>
    </xf>
    <xf numFmtId="177" fontId="178" fillId="0" borderId="25" xfId="0" applyNumberFormat="1" applyFont="1" applyBorder="1" applyAlignment="1">
      <alignment horizontal="center"/>
    </xf>
    <xf numFmtId="177" fontId="178" fillId="42" borderId="25" xfId="0" applyNumberFormat="1" applyFont="1" applyFill="1" applyBorder="1" applyAlignment="1">
      <alignment horizontal="center"/>
    </xf>
    <xf numFmtId="0" fontId="178" fillId="0" borderId="25" xfId="0" applyFont="1" applyBorder="1"/>
    <xf numFmtId="177" fontId="0" fillId="42" borderId="0" xfId="0" applyNumberFormat="1" applyFill="1" applyAlignment="1">
      <alignment horizontal="center"/>
    </xf>
    <xf numFmtId="177" fontId="0" fillId="43" borderId="0" xfId="0" applyNumberFormat="1" applyFill="1" applyAlignment="1">
      <alignment horizontal="center"/>
    </xf>
    <xf numFmtId="177" fontId="0" fillId="42" borderId="25" xfId="0" applyNumberFormat="1" applyFill="1" applyBorder="1" applyAlignment="1">
      <alignment horizontal="center"/>
    </xf>
    <xf numFmtId="0" fontId="0" fillId="44" borderId="0" xfId="0" applyFill="1" applyAlignment="1">
      <alignment horizontal="center"/>
    </xf>
    <xf numFmtId="177" fontId="0" fillId="44" borderId="0" xfId="0" applyNumberFormat="1" applyFill="1" applyAlignment="1">
      <alignment horizontal="center"/>
    </xf>
    <xf numFmtId="177" fontId="210" fillId="44" borderId="0" xfId="0" applyNumberFormat="1" applyFont="1" applyFill="1" applyAlignment="1">
      <alignment horizontal="center"/>
    </xf>
    <xf numFmtId="177" fontId="178" fillId="44" borderId="0" xfId="0" applyNumberFormat="1" applyFont="1" applyFill="1" applyAlignment="1">
      <alignment horizontal="center"/>
    </xf>
    <xf numFmtId="0" fontId="0" fillId="44" borderId="0" xfId="0" applyFill="1"/>
    <xf numFmtId="177" fontId="0" fillId="44" borderId="0" xfId="0" applyNumberFormat="1" applyFont="1" applyFill="1" applyAlignment="1">
      <alignment horizontal="center"/>
    </xf>
    <xf numFmtId="14" fontId="178" fillId="44" borderId="25" xfId="0" applyNumberFormat="1" applyFont="1" applyFill="1" applyBorder="1" applyAlignment="1">
      <alignment horizontal="center"/>
    </xf>
    <xf numFmtId="177" fontId="178" fillId="44" borderId="25" xfId="11177" applyNumberFormat="1" applyFont="1" applyFill="1" applyBorder="1" applyAlignment="1">
      <alignment horizontal="center"/>
    </xf>
    <xf numFmtId="177" fontId="178" fillId="44" borderId="25" xfId="0" applyNumberFormat="1" applyFont="1" applyFill="1" applyBorder="1" applyAlignment="1">
      <alignment horizontal="center"/>
    </xf>
    <xf numFmtId="177" fontId="210" fillId="44" borderId="25" xfId="0" applyNumberFormat="1" applyFont="1" applyFill="1" applyBorder="1" applyAlignment="1">
      <alignment horizontal="center"/>
    </xf>
    <xf numFmtId="177" fontId="0" fillId="44" borderId="25" xfId="0" applyNumberFormat="1" applyFill="1" applyBorder="1" applyAlignment="1">
      <alignment horizontal="center"/>
    </xf>
    <xf numFmtId="0" fontId="178" fillId="44" borderId="25" xfId="0" applyFont="1" applyFill="1" applyBorder="1"/>
    <xf numFmtId="1" fontId="186" fillId="0" borderId="0" xfId="0" applyNumberFormat="1" applyFont="1" applyBorder="1"/>
    <xf numFmtId="0" fontId="186" fillId="0" borderId="37" xfId="0" applyFont="1" applyBorder="1"/>
    <xf numFmtId="1" fontId="186" fillId="0" borderId="0" xfId="0" applyNumberFormat="1" applyFont="1" applyFill="1" applyBorder="1" applyAlignment="1">
      <alignment vertical="center"/>
    </xf>
    <xf numFmtId="172" fontId="186" fillId="0" borderId="37" xfId="11177" applyNumberFormat="1" applyFont="1" applyFill="1" applyBorder="1" applyAlignment="1">
      <alignment vertical="center"/>
    </xf>
    <xf numFmtId="171" fontId="186" fillId="39" borderId="0" xfId="0" applyNumberFormat="1" applyFont="1" applyFill="1" applyBorder="1" applyAlignment="1">
      <alignment vertical="center"/>
    </xf>
    <xf numFmtId="164" fontId="187" fillId="0" borderId="0" xfId="0" applyNumberFormat="1" applyFont="1" applyBorder="1"/>
    <xf numFmtId="0" fontId="195" fillId="0" borderId="0" xfId="0" applyFont="1" applyBorder="1" applyAlignment="1">
      <alignment vertical="center" wrapText="1"/>
    </xf>
    <xf numFmtId="0" fontId="196" fillId="0" borderId="0" xfId="0" applyFont="1" applyBorder="1" applyAlignment="1">
      <alignment vertical="center" wrapText="1"/>
    </xf>
    <xf numFmtId="0" fontId="186" fillId="0" borderId="0" xfId="0" applyFont="1" applyBorder="1" applyAlignment="1">
      <alignment vertical="top"/>
    </xf>
    <xf numFmtId="164" fontId="186" fillId="0" borderId="0" xfId="0" applyNumberFormat="1" applyFont="1" applyBorder="1"/>
    <xf numFmtId="168" fontId="186" fillId="0" borderId="0" xfId="0" applyNumberFormat="1" applyFont="1" applyFill="1" applyBorder="1"/>
    <xf numFmtId="4" fontId="186" fillId="0" borderId="0" xfId="0" applyNumberFormat="1" applyFont="1" applyBorder="1"/>
    <xf numFmtId="0" fontId="186" fillId="0" borderId="0" xfId="0" applyNumberFormat="1" applyFont="1" applyBorder="1"/>
    <xf numFmtId="1" fontId="211" fillId="0" borderId="13" xfId="0" applyNumberFormat="1" applyFont="1" applyFill="1" applyBorder="1" applyAlignment="1">
      <alignment vertical="center"/>
    </xf>
    <xf numFmtId="0" fontId="211" fillId="0" borderId="0" xfId="0" applyFont="1" applyBorder="1"/>
    <xf numFmtId="0" fontId="211" fillId="0" borderId="0" xfId="0" applyFont="1"/>
    <xf numFmtId="168" fontId="187" fillId="40" borderId="0" xfId="0" applyNumberFormat="1" applyFont="1" applyFill="1" applyBorder="1"/>
    <xf numFmtId="168" fontId="186" fillId="39" borderId="0" xfId="0" applyNumberFormat="1" applyFont="1" applyFill="1" applyBorder="1"/>
    <xf numFmtId="171" fontId="208" fillId="39" borderId="0" xfId="0" applyNumberFormat="1" applyFont="1" applyFill="1" applyBorder="1" applyAlignment="1">
      <alignment vertical="center"/>
    </xf>
    <xf numFmtId="1" fontId="211" fillId="0" borderId="0" xfId="0" applyNumberFormat="1" applyFont="1" applyFill="1" applyBorder="1" applyAlignment="1">
      <alignment vertical="center"/>
    </xf>
    <xf numFmtId="176" fontId="186" fillId="0" borderId="0" xfId="0" applyNumberFormat="1" applyFont="1" applyFill="1" applyBorder="1" applyAlignment="1">
      <alignment vertical="center"/>
    </xf>
    <xf numFmtId="164" fontId="198" fillId="0" borderId="0" xfId="0" applyNumberFormat="1" applyFont="1" applyFill="1" applyBorder="1"/>
    <xf numFmtId="171" fontId="198" fillId="0" borderId="0" xfId="0" applyNumberFormat="1" applyFont="1" applyFill="1" applyBorder="1" applyAlignment="1">
      <alignment vertical="center"/>
    </xf>
    <xf numFmtId="171" fontId="198" fillId="0" borderId="0" xfId="11177" applyNumberFormat="1" applyFont="1" applyFill="1" applyBorder="1" applyAlignment="1">
      <alignment vertical="center"/>
    </xf>
    <xf numFmtId="0" fontId="187" fillId="47" borderId="0" xfId="0" applyFont="1" applyFill="1" applyBorder="1"/>
    <xf numFmtId="0" fontId="186" fillId="47" borderId="0" xfId="0" applyFont="1" applyFill="1" applyBorder="1"/>
    <xf numFmtId="1" fontId="186" fillId="47" borderId="0" xfId="0" applyNumberFormat="1" applyFont="1" applyFill="1" applyBorder="1"/>
    <xf numFmtId="0" fontId="211" fillId="47" borderId="0" xfId="0" applyFont="1" applyFill="1" applyBorder="1"/>
    <xf numFmtId="175" fontId="186" fillId="47" borderId="25" xfId="798" applyNumberFormat="1" applyFont="1" applyFill="1" applyBorder="1"/>
    <xf numFmtId="0" fontId="186" fillId="47" borderId="25" xfId="0" applyFont="1" applyFill="1" applyBorder="1"/>
    <xf numFmtId="175" fontId="191" fillId="47" borderId="25" xfId="798" applyNumberFormat="1" applyFont="1" applyFill="1" applyBorder="1"/>
    <xf numFmtId="169" fontId="186" fillId="45" borderId="25" xfId="798" applyNumberFormat="1" applyFont="1" applyFill="1" applyBorder="1"/>
    <xf numFmtId="175" fontId="186" fillId="45" borderId="25" xfId="798" applyNumberFormat="1" applyFont="1" applyFill="1" applyBorder="1"/>
    <xf numFmtId="0" fontId="185" fillId="47" borderId="0" xfId="0" applyFont="1" applyFill="1" applyBorder="1"/>
    <xf numFmtId="175" fontId="189" fillId="45" borderId="1" xfId="798" applyNumberFormat="1" applyFont="1" applyFill="1" applyBorder="1"/>
    <xf numFmtId="175" fontId="186" fillId="45" borderId="1" xfId="798" applyNumberFormat="1" applyFont="1" applyFill="1" applyBorder="1"/>
    <xf numFmtId="175" fontId="189" fillId="47" borderId="25" xfId="798" applyNumberFormat="1" applyFont="1" applyFill="1" applyBorder="1"/>
    <xf numFmtId="1" fontId="186" fillId="47" borderId="25" xfId="0" applyNumberFormat="1" applyFont="1" applyFill="1" applyBorder="1"/>
    <xf numFmtId="0" fontId="186" fillId="0" borderId="25" xfId="0" applyFont="1" applyBorder="1"/>
    <xf numFmtId="0" fontId="187" fillId="0" borderId="0" xfId="0" applyNumberFormat="1" applyFont="1" applyBorder="1"/>
    <xf numFmtId="175" fontId="188" fillId="0" borderId="0" xfId="798" applyNumberFormat="1" applyFont="1" applyFill="1" applyBorder="1"/>
    <xf numFmtId="175" fontId="189" fillId="0" borderId="0" xfId="798" applyNumberFormat="1" applyFont="1" applyFill="1" applyBorder="1"/>
    <xf numFmtId="175" fontId="186" fillId="0" borderId="0" xfId="798" applyNumberFormat="1" applyFont="1" applyFill="1" applyBorder="1"/>
    <xf numFmtId="178" fontId="186" fillId="0" borderId="0" xfId="0" applyNumberFormat="1" applyFont="1" applyBorder="1"/>
    <xf numFmtId="9" fontId="186" fillId="47" borderId="0" xfId="0" applyNumberFormat="1" applyFont="1" applyFill="1" applyBorder="1"/>
    <xf numFmtId="0" fontId="186" fillId="47" borderId="0" xfId="0" applyFont="1" applyFill="1" applyBorder="1" applyAlignment="1">
      <alignment vertical="top"/>
    </xf>
    <xf numFmtId="168" fontId="211" fillId="47" borderId="0" xfId="0" applyNumberFormat="1" applyFont="1" applyFill="1" applyBorder="1"/>
    <xf numFmtId="168" fontId="186" fillId="47" borderId="0" xfId="0" applyNumberFormat="1" applyFont="1" applyFill="1" applyBorder="1"/>
    <xf numFmtId="9" fontId="186" fillId="47" borderId="0" xfId="11179" applyFont="1" applyFill="1" applyBorder="1"/>
    <xf numFmtId="4" fontId="186" fillId="47" borderId="0" xfId="95" applyNumberFormat="1" applyFont="1" applyFill="1" applyBorder="1" applyAlignment="1">
      <alignment horizontal="right"/>
    </xf>
    <xf numFmtId="0" fontId="184" fillId="47" borderId="0" xfId="0" applyFont="1" applyFill="1" applyBorder="1"/>
    <xf numFmtId="0" fontId="197" fillId="47" borderId="0" xfId="0" applyFont="1" applyFill="1" applyBorder="1" applyAlignment="1">
      <alignment vertical="center" wrapText="1"/>
    </xf>
    <xf numFmtId="174" fontId="184" fillId="47" borderId="0" xfId="0" applyNumberFormat="1" applyFont="1" applyFill="1" applyBorder="1" applyAlignment="1">
      <alignment horizontal="left"/>
    </xf>
    <xf numFmtId="17" fontId="186" fillId="0" borderId="50" xfId="0" applyNumberFormat="1" applyFont="1" applyBorder="1" applyAlignment="1">
      <alignment horizontal="center" vertical="center"/>
    </xf>
    <xf numFmtId="172" fontId="211" fillId="0" borderId="37" xfId="11177" applyNumberFormat="1" applyFont="1" applyFill="1" applyBorder="1" applyAlignment="1">
      <alignment vertical="center"/>
    </xf>
    <xf numFmtId="172" fontId="188" fillId="37" borderId="37" xfId="11177" applyNumberFormat="1" applyFont="1" applyFill="1" applyBorder="1"/>
    <xf numFmtId="172" fontId="186" fillId="37" borderId="37" xfId="11177" applyNumberFormat="1" applyFont="1" applyFill="1" applyBorder="1" applyAlignment="1">
      <alignment vertical="center"/>
    </xf>
    <xf numFmtId="172" fontId="208" fillId="37" borderId="37" xfId="11177" applyNumberFormat="1" applyFont="1" applyFill="1" applyBorder="1" applyAlignment="1">
      <alignment vertical="center"/>
    </xf>
    <xf numFmtId="171" fontId="186" fillId="37" borderId="37" xfId="11177" applyNumberFormat="1" applyFont="1" applyFill="1" applyBorder="1" applyAlignment="1">
      <alignment vertical="center"/>
    </xf>
    <xf numFmtId="172" fontId="211" fillId="0" borderId="46" xfId="11177" applyNumberFormat="1" applyFont="1" applyFill="1" applyBorder="1" applyAlignment="1">
      <alignment vertical="center"/>
    </xf>
    <xf numFmtId="0" fontId="187" fillId="45" borderId="36" xfId="0" applyFont="1" applyFill="1" applyBorder="1"/>
    <xf numFmtId="176" fontId="186" fillId="45" borderId="59" xfId="0" applyNumberFormat="1" applyFont="1" applyFill="1" applyBorder="1" applyAlignment="1">
      <alignment vertical="center"/>
    </xf>
    <xf numFmtId="0" fontId="186" fillId="47" borderId="36" xfId="0" applyNumberFormat="1" applyFont="1" applyFill="1" applyBorder="1"/>
    <xf numFmtId="176" fontId="186" fillId="47" borderId="59" xfId="0" applyNumberFormat="1" applyFont="1" applyFill="1" applyBorder="1" applyAlignment="1">
      <alignment vertical="center"/>
    </xf>
    <xf numFmtId="0" fontId="208" fillId="47" borderId="36" xfId="0" applyFont="1" applyFill="1" applyBorder="1"/>
    <xf numFmtId="0" fontId="186" fillId="47" borderId="36" xfId="0" applyFont="1" applyFill="1" applyBorder="1"/>
    <xf numFmtId="0" fontId="187" fillId="47" borderId="36" xfId="0" applyFont="1" applyFill="1" applyBorder="1"/>
    <xf numFmtId="0" fontId="185" fillId="45" borderId="36" xfId="0" applyFont="1" applyFill="1" applyBorder="1"/>
    <xf numFmtId="172" fontId="186" fillId="45" borderId="59" xfId="11177" applyNumberFormat="1" applyFont="1" applyFill="1" applyBorder="1" applyAlignment="1">
      <alignment vertical="center"/>
    </xf>
    <xf numFmtId="172" fontId="186" fillId="47" borderId="59" xfId="11177" applyNumberFormat="1" applyFont="1" applyFill="1" applyBorder="1" applyAlignment="1">
      <alignment vertical="center"/>
    </xf>
    <xf numFmtId="0" fontId="186" fillId="47" borderId="59" xfId="0" applyFont="1" applyFill="1" applyBorder="1"/>
    <xf numFmtId="169" fontId="186" fillId="47" borderId="59" xfId="0" applyNumberFormat="1" applyFont="1" applyFill="1" applyBorder="1"/>
    <xf numFmtId="0" fontId="186" fillId="45" borderId="56" xfId="0" applyFont="1" applyFill="1" applyBorder="1"/>
    <xf numFmtId="0" fontId="186" fillId="47" borderId="56" xfId="0" applyFont="1" applyFill="1" applyBorder="1"/>
    <xf numFmtId="0" fontId="186" fillId="0" borderId="56" xfId="0" applyFont="1" applyFill="1" applyBorder="1"/>
    <xf numFmtId="175" fontId="186" fillId="0" borderId="56" xfId="798" applyNumberFormat="1" applyFont="1" applyFill="1" applyBorder="1"/>
    <xf numFmtId="0" fontId="187" fillId="45" borderId="56" xfId="0" applyFont="1" applyFill="1" applyBorder="1"/>
    <xf numFmtId="0" fontId="186" fillId="0" borderId="56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169" fontId="187" fillId="47" borderId="6" xfId="798" applyNumberFormat="1" applyFont="1" applyFill="1" applyBorder="1"/>
    <xf numFmtId="169" fontId="190" fillId="47" borderId="6" xfId="798" applyNumberFormat="1" applyFont="1" applyFill="1" applyBorder="1"/>
    <xf numFmtId="169" fontId="187" fillId="45" borderId="6" xfId="798" applyNumberFormat="1" applyFont="1" applyFill="1" applyBorder="1"/>
    <xf numFmtId="0" fontId="188" fillId="0" borderId="4" xfId="798" applyFont="1" applyFill="1" applyBorder="1"/>
    <xf numFmtId="0" fontId="188" fillId="45" borderId="6" xfId="798" applyFont="1" applyFill="1" applyBorder="1"/>
    <xf numFmtId="0" fontId="188" fillId="47" borderId="6" xfId="798" applyFont="1" applyFill="1" applyBorder="1"/>
    <xf numFmtId="169" fontId="188" fillId="47" borderId="6" xfId="798" applyNumberFormat="1" applyFont="1" applyFill="1" applyBorder="1"/>
    <xf numFmtId="0" fontId="187" fillId="47" borderId="6" xfId="0" applyFont="1" applyFill="1" applyBorder="1"/>
    <xf numFmtId="0" fontId="186" fillId="0" borderId="6" xfId="0" applyFont="1" applyBorder="1"/>
    <xf numFmtId="169" fontId="188" fillId="0" borderId="6" xfId="798" applyNumberFormat="1" applyFont="1" applyFill="1" applyBorder="1"/>
    <xf numFmtId="0" fontId="186" fillId="0" borderId="64" xfId="0" applyFont="1" applyBorder="1" applyAlignment="1">
      <alignment vertical="top"/>
    </xf>
    <xf numFmtId="0" fontId="187" fillId="45" borderId="65" xfId="0" applyFont="1" applyFill="1" applyBorder="1"/>
    <xf numFmtId="0" fontId="186" fillId="47" borderId="65" xfId="0" applyNumberFormat="1" applyFont="1" applyFill="1" applyBorder="1"/>
    <xf numFmtId="0" fontId="208" fillId="47" borderId="65" xfId="0" applyFont="1" applyFill="1" applyBorder="1"/>
    <xf numFmtId="0" fontId="186" fillId="47" borderId="65" xfId="0" applyFont="1" applyFill="1" applyBorder="1"/>
    <xf numFmtId="0" fontId="186" fillId="45" borderId="65" xfId="0" applyFont="1" applyFill="1" applyBorder="1"/>
    <xf numFmtId="0" fontId="186" fillId="0" borderId="65" xfId="0" applyFont="1" applyFill="1" applyBorder="1"/>
    <xf numFmtId="0" fontId="187" fillId="47" borderId="65" xfId="0" applyFont="1" applyFill="1" applyBorder="1"/>
    <xf numFmtId="0" fontId="186" fillId="0" borderId="65" xfId="0" applyFont="1" applyBorder="1"/>
    <xf numFmtId="0" fontId="188" fillId="47" borderId="68" xfId="0" applyFont="1" applyFill="1" applyBorder="1" applyAlignment="1">
      <alignment horizontal="center" vertical="top" wrapText="1"/>
    </xf>
    <xf numFmtId="164" fontId="188" fillId="39" borderId="13" xfId="0" applyNumberFormat="1" applyFont="1" applyFill="1" applyBorder="1" applyAlignment="1">
      <alignment horizontal="center" vertical="top" wrapText="1"/>
    </xf>
    <xf numFmtId="0" fontId="188" fillId="37" borderId="46" xfId="0" applyFont="1" applyFill="1" applyBorder="1" applyAlignment="1">
      <alignment horizontal="center" vertical="top" wrapText="1"/>
    </xf>
    <xf numFmtId="0" fontId="186" fillId="47" borderId="36" xfId="0" applyFont="1" applyFill="1" applyBorder="1" applyAlignment="1">
      <alignment vertical="top"/>
    </xf>
    <xf numFmtId="176" fontId="187" fillId="40" borderId="34" xfId="0" applyNumberFormat="1" applyFont="1" applyFill="1" applyBorder="1" applyAlignment="1">
      <alignment vertical="center"/>
    </xf>
    <xf numFmtId="176" fontId="187" fillId="40" borderId="35" xfId="0" applyNumberFormat="1" applyFont="1" applyFill="1" applyBorder="1" applyAlignment="1">
      <alignment vertical="center"/>
    </xf>
    <xf numFmtId="176" fontId="187" fillId="40" borderId="26" xfId="0" applyNumberFormat="1" applyFont="1" applyFill="1" applyBorder="1" applyAlignment="1">
      <alignment vertical="center"/>
    </xf>
    <xf numFmtId="171" fontId="186" fillId="37" borderId="0" xfId="11177" applyNumberFormat="1" applyFont="1" applyFill="1" applyBorder="1" applyAlignment="1">
      <alignment vertical="center"/>
    </xf>
    <xf numFmtId="172" fontId="186" fillId="0" borderId="66" xfId="11177" applyNumberFormat="1" applyFont="1" applyFill="1" applyBorder="1" applyAlignment="1">
      <alignment vertical="center"/>
    </xf>
    <xf numFmtId="176" fontId="186" fillId="45" borderId="72" xfId="0" applyNumberFormat="1" applyFont="1" applyFill="1" applyBorder="1" applyAlignment="1">
      <alignment vertical="center"/>
    </xf>
    <xf numFmtId="168" fontId="212" fillId="40" borderId="26" xfId="0" applyNumberFormat="1" applyFont="1" applyFill="1" applyBorder="1"/>
    <xf numFmtId="176" fontId="186" fillId="45" borderId="67" xfId="0" applyNumberFormat="1" applyFont="1" applyFill="1" applyBorder="1" applyAlignment="1">
      <alignment vertical="center"/>
    </xf>
    <xf numFmtId="1" fontId="211" fillId="0" borderId="34" xfId="0" applyNumberFormat="1" applyFont="1" applyFill="1" applyBorder="1" applyAlignment="1">
      <alignment vertical="center"/>
    </xf>
    <xf numFmtId="172" fontId="211" fillId="0" borderId="35" xfId="11177" applyNumberFormat="1" applyFont="1" applyFill="1" applyBorder="1" applyAlignment="1">
      <alignment vertical="center"/>
    </xf>
    <xf numFmtId="169" fontId="187" fillId="45" borderId="15" xfId="798" applyNumberFormat="1" applyFont="1" applyFill="1" applyBorder="1"/>
    <xf numFmtId="169" fontId="186" fillId="45" borderId="2" xfId="798" applyNumberFormat="1" applyFont="1" applyFill="1" applyBorder="1"/>
    <xf numFmtId="0" fontId="186" fillId="45" borderId="71" xfId="0" applyFont="1" applyFill="1" applyBorder="1"/>
    <xf numFmtId="176" fontId="211" fillId="0" borderId="0" xfId="0" applyNumberFormat="1" applyFont="1" applyBorder="1"/>
    <xf numFmtId="168" fontId="212" fillId="47" borderId="36" xfId="0" applyNumberFormat="1" applyFont="1" applyFill="1" applyBorder="1"/>
    <xf numFmtId="176" fontId="186" fillId="0" borderId="37" xfId="0" applyNumberFormat="1" applyFont="1" applyFill="1" applyBorder="1" applyAlignment="1">
      <alignment vertical="center"/>
    </xf>
    <xf numFmtId="176" fontId="187" fillId="47" borderId="0" xfId="0" applyNumberFormat="1" applyFont="1" applyFill="1" applyBorder="1" applyAlignment="1">
      <alignment vertical="center"/>
    </xf>
    <xf numFmtId="168" fontId="212" fillId="47" borderId="47" xfId="0" applyNumberFormat="1" applyFont="1" applyFill="1" applyBorder="1"/>
    <xf numFmtId="176" fontId="187" fillId="47" borderId="13" xfId="0" applyNumberFormat="1" applyFont="1" applyFill="1" applyBorder="1" applyAlignment="1">
      <alignment vertical="center"/>
    </xf>
    <xf numFmtId="0" fontId="186" fillId="47" borderId="46" xfId="0" applyFont="1" applyFill="1" applyBorder="1"/>
    <xf numFmtId="0" fontId="186" fillId="47" borderId="46" xfId="0" applyFont="1" applyFill="1" applyBorder="1" applyAlignment="1">
      <alignment vertical="top"/>
    </xf>
    <xf numFmtId="176" fontId="186" fillId="49" borderId="37" xfId="0" applyNumberFormat="1" applyFont="1" applyFill="1" applyBorder="1" applyAlignment="1">
      <alignment vertical="center"/>
    </xf>
    <xf numFmtId="176" fontId="186" fillId="49" borderId="35" xfId="0" applyNumberFormat="1" applyFont="1" applyFill="1" applyBorder="1" applyAlignment="1">
      <alignment vertical="center"/>
    </xf>
    <xf numFmtId="168" fontId="212" fillId="47" borderId="26" xfId="0" applyNumberFormat="1" applyFont="1" applyFill="1" applyBorder="1"/>
    <xf numFmtId="176" fontId="186" fillId="47" borderId="34" xfId="0" applyNumberFormat="1" applyFont="1" applyFill="1" applyBorder="1" applyAlignment="1">
      <alignment vertical="center"/>
    </xf>
    <xf numFmtId="176" fontId="186" fillId="47" borderId="35" xfId="0" applyNumberFormat="1" applyFont="1" applyFill="1" applyBorder="1" applyAlignment="1">
      <alignment vertical="center"/>
    </xf>
    <xf numFmtId="169" fontId="187" fillId="45" borderId="8" xfId="798" applyNumberFormat="1" applyFont="1" applyFill="1" applyBorder="1"/>
    <xf numFmtId="175" fontId="186" fillId="45" borderId="50" xfId="798" applyNumberFormat="1" applyFont="1" applyFill="1" applyBorder="1"/>
    <xf numFmtId="0" fontId="186" fillId="45" borderId="62" xfId="0" applyFont="1" applyFill="1" applyBorder="1"/>
    <xf numFmtId="176" fontId="186" fillId="40" borderId="34" xfId="0" applyNumberFormat="1" applyFont="1" applyFill="1" applyBorder="1" applyAlignment="1">
      <alignment vertical="center"/>
    </xf>
    <xf numFmtId="168" fontId="212" fillId="40" borderId="34" xfId="0" applyNumberFormat="1" applyFont="1" applyFill="1" applyBorder="1"/>
    <xf numFmtId="176" fontId="186" fillId="40" borderId="35" xfId="0" applyNumberFormat="1" applyFont="1" applyFill="1" applyBorder="1" applyAlignment="1">
      <alignment vertical="center"/>
    </xf>
    <xf numFmtId="176" fontId="187" fillId="47" borderId="34" xfId="0" applyNumberFormat="1" applyFont="1" applyFill="1" applyBorder="1" applyAlignment="1">
      <alignment vertical="center"/>
    </xf>
    <xf numFmtId="168" fontId="212" fillId="47" borderId="34" xfId="0" applyNumberFormat="1" applyFont="1" applyFill="1" applyBorder="1"/>
    <xf numFmtId="169" fontId="188" fillId="45" borderId="6" xfId="798" applyNumberFormat="1" applyFont="1" applyFill="1" applyBorder="1"/>
    <xf numFmtId="169" fontId="188" fillId="45" borderId="15" xfId="798" applyNumberFormat="1" applyFont="1" applyFill="1" applyBorder="1"/>
    <xf numFmtId="0" fontId="186" fillId="47" borderId="71" xfId="0" applyFont="1" applyFill="1" applyBorder="1"/>
    <xf numFmtId="0" fontId="188" fillId="45" borderId="8" xfId="798" applyFont="1" applyFill="1" applyBorder="1"/>
    <xf numFmtId="0" fontId="187" fillId="45" borderId="62" xfId="0" applyFont="1" applyFill="1" applyBorder="1"/>
    <xf numFmtId="0" fontId="187" fillId="45" borderId="47" xfId="0" applyFont="1" applyFill="1" applyBorder="1"/>
    <xf numFmtId="0" fontId="186" fillId="45" borderId="66" xfId="0" applyFont="1" applyFill="1" applyBorder="1"/>
    <xf numFmtId="169" fontId="187" fillId="45" borderId="63" xfId="798" applyNumberFormat="1" applyFont="1" applyFill="1" applyBorder="1"/>
    <xf numFmtId="0" fontId="186" fillId="45" borderId="58" xfId="0" applyFont="1" applyFill="1" applyBorder="1"/>
    <xf numFmtId="0" fontId="187" fillId="45" borderId="37" xfId="0" applyFont="1" applyFill="1" applyBorder="1"/>
    <xf numFmtId="168" fontId="186" fillId="47" borderId="37" xfId="0" applyNumberFormat="1" applyFont="1" applyFill="1" applyBorder="1"/>
    <xf numFmtId="176" fontId="186" fillId="49" borderId="61" xfId="0" applyNumberFormat="1" applyFont="1" applyFill="1" applyBorder="1" applyAlignment="1">
      <alignment vertical="center"/>
    </xf>
    <xf numFmtId="0" fontId="186" fillId="47" borderId="37" xfId="0" applyFont="1" applyFill="1" applyBorder="1"/>
    <xf numFmtId="0" fontId="186" fillId="0" borderId="51" xfId="0" applyFont="1" applyFill="1" applyBorder="1"/>
    <xf numFmtId="0" fontId="187" fillId="45" borderId="8" xfId="0" applyFont="1" applyFill="1" applyBorder="1"/>
    <xf numFmtId="0" fontId="186" fillId="45" borderId="50" xfId="0" applyFont="1" applyFill="1" applyBorder="1"/>
    <xf numFmtId="1" fontId="186" fillId="45" borderId="50" xfId="0" applyNumberFormat="1" applyFont="1" applyFill="1" applyBorder="1"/>
    <xf numFmtId="168" fontId="187" fillId="53" borderId="26" xfId="0" applyNumberFormat="1" applyFont="1" applyFill="1" applyBorder="1"/>
    <xf numFmtId="179" fontId="213" fillId="47" borderId="0" xfId="0" applyNumberFormat="1" applyFont="1" applyFill="1" applyBorder="1" applyAlignment="1">
      <alignment horizontal="center"/>
    </xf>
    <xf numFmtId="179" fontId="188" fillId="50" borderId="52" xfId="0" applyNumberFormat="1" applyFont="1" applyFill="1" applyBorder="1" applyAlignment="1">
      <alignment horizontal="center" vertical="top" wrapText="1"/>
    </xf>
    <xf numFmtId="179" fontId="188" fillId="51" borderId="1" xfId="0" applyNumberFormat="1" applyFont="1" applyFill="1" applyBorder="1" applyAlignment="1">
      <alignment horizontal="center" vertical="top" wrapText="1"/>
    </xf>
    <xf numFmtId="179" fontId="188" fillId="38" borderId="51" xfId="0" applyNumberFormat="1" applyFont="1" applyFill="1" applyBorder="1" applyAlignment="1">
      <alignment horizontal="center" vertical="top" wrapText="1"/>
    </xf>
    <xf numFmtId="179" fontId="188" fillId="48" borderId="1" xfId="0" applyNumberFormat="1" applyFont="1" applyFill="1" applyBorder="1" applyAlignment="1">
      <alignment horizontal="center" vertical="top" wrapText="1"/>
    </xf>
    <xf numFmtId="179" fontId="187" fillId="53" borderId="34" xfId="0" applyNumberFormat="1" applyFont="1" applyFill="1" applyBorder="1" applyAlignment="1">
      <alignment horizontal="center" vertical="center"/>
    </xf>
    <xf numFmtId="179" fontId="214" fillId="0" borderId="0" xfId="0" applyNumberFormat="1" applyFont="1" applyFill="1" applyBorder="1" applyAlignment="1">
      <alignment horizontal="center"/>
    </xf>
    <xf numFmtId="179" fontId="187" fillId="0" borderId="0" xfId="0" applyNumberFormat="1" applyFont="1" applyFill="1" applyBorder="1" applyAlignment="1">
      <alignment horizontal="center"/>
    </xf>
    <xf numFmtId="179" fontId="215" fillId="0" borderId="0" xfId="0" applyNumberFormat="1" applyFont="1" applyFill="1" applyBorder="1" applyAlignment="1">
      <alignment horizontal="center"/>
    </xf>
    <xf numFmtId="179" fontId="186" fillId="47" borderId="0" xfId="0" applyNumberFormat="1" applyFont="1" applyFill="1" applyBorder="1" applyAlignment="1">
      <alignment horizontal="center"/>
    </xf>
    <xf numFmtId="179" fontId="186" fillId="45" borderId="55" xfId="0" applyNumberFormat="1" applyFont="1" applyFill="1" applyBorder="1" applyAlignment="1">
      <alignment horizontal="center" vertical="center"/>
    </xf>
    <xf numFmtId="179" fontId="186" fillId="45" borderId="25" xfId="0" applyNumberFormat="1" applyFont="1" applyFill="1" applyBorder="1" applyAlignment="1">
      <alignment horizontal="center" vertical="center"/>
    </xf>
    <xf numFmtId="179" fontId="186" fillId="45" borderId="56" xfId="0" applyNumberFormat="1" applyFont="1" applyFill="1" applyBorder="1" applyAlignment="1">
      <alignment horizontal="center" vertical="center"/>
    </xf>
    <xf numFmtId="179" fontId="186" fillId="46" borderId="25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/>
    </xf>
    <xf numFmtId="179" fontId="186" fillId="52" borderId="25" xfId="0" applyNumberFormat="1" applyFont="1" applyFill="1" applyBorder="1" applyAlignment="1">
      <alignment horizontal="center" vertical="center"/>
    </xf>
    <xf numFmtId="179" fontId="186" fillId="38" borderId="56" xfId="0" applyNumberFormat="1" applyFont="1" applyFill="1" applyBorder="1" applyAlignment="1">
      <alignment horizontal="center" vertical="center"/>
    </xf>
    <xf numFmtId="179" fontId="186" fillId="48" borderId="25" xfId="0" applyNumberFormat="1" applyFont="1" applyFill="1" applyBorder="1" applyAlignment="1">
      <alignment horizontal="center" vertical="center"/>
    </xf>
    <xf numFmtId="179" fontId="186" fillId="45" borderId="70" xfId="0" applyNumberFormat="1" applyFont="1" applyFill="1" applyBorder="1" applyAlignment="1">
      <alignment horizontal="center" vertical="center"/>
    </xf>
    <xf numFmtId="179" fontId="186" fillId="45" borderId="2" xfId="0" applyNumberFormat="1" applyFont="1" applyFill="1" applyBorder="1" applyAlignment="1">
      <alignment horizontal="center" vertical="center"/>
    </xf>
    <xf numFmtId="179" fontId="186" fillId="45" borderId="71" xfId="0" applyNumberFormat="1" applyFont="1" applyFill="1" applyBorder="1" applyAlignment="1">
      <alignment horizontal="center" vertical="center"/>
    </xf>
    <xf numFmtId="179" fontId="186" fillId="46" borderId="2" xfId="0" applyNumberFormat="1" applyFont="1" applyFill="1" applyBorder="1" applyAlignment="1">
      <alignment horizontal="center" vertical="center"/>
    </xf>
    <xf numFmtId="179" fontId="186" fillId="47" borderId="34" xfId="0" applyNumberFormat="1" applyFont="1" applyFill="1" applyBorder="1" applyAlignment="1">
      <alignment horizontal="center" vertical="center"/>
    </xf>
    <xf numFmtId="179" fontId="186" fillId="47" borderId="35" xfId="0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/>
    </xf>
    <xf numFmtId="179" fontId="186" fillId="45" borderId="50" xfId="0" applyNumberFormat="1" applyFont="1" applyFill="1" applyBorder="1" applyAlignment="1">
      <alignment horizontal="center" vertical="center"/>
    </xf>
    <xf numFmtId="179" fontId="186" fillId="45" borderId="62" xfId="0" applyNumberFormat="1" applyFont="1" applyFill="1" applyBorder="1" applyAlignment="1">
      <alignment horizontal="center" vertical="center"/>
    </xf>
    <xf numFmtId="179" fontId="186" fillId="46" borderId="50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 wrapText="1"/>
    </xf>
    <xf numFmtId="179" fontId="186" fillId="38" borderId="56" xfId="11177" applyNumberFormat="1" applyFont="1" applyFill="1" applyBorder="1" applyAlignment="1">
      <alignment horizontal="center" vertical="center"/>
    </xf>
    <xf numFmtId="179" fontId="186" fillId="47" borderId="25" xfId="0" applyNumberFormat="1" applyFont="1" applyFill="1" applyBorder="1" applyAlignment="1">
      <alignment horizontal="center" vertical="center"/>
    </xf>
    <xf numFmtId="179" fontId="186" fillId="45" borderId="57" xfId="0" applyNumberFormat="1" applyFont="1" applyFill="1" applyBorder="1" applyAlignment="1">
      <alignment horizontal="center" vertical="center"/>
    </xf>
    <xf numFmtId="179" fontId="186" fillId="45" borderId="48" xfId="0" applyNumberFormat="1" applyFont="1" applyFill="1" applyBorder="1" applyAlignment="1">
      <alignment horizontal="center" vertical="center"/>
    </xf>
    <xf numFmtId="179" fontId="186" fillId="45" borderId="58" xfId="0" applyNumberFormat="1" applyFont="1" applyFill="1" applyBorder="1" applyAlignment="1">
      <alignment horizontal="center" vertical="center"/>
    </xf>
    <xf numFmtId="179" fontId="187" fillId="47" borderId="13" xfId="0" applyNumberFormat="1" applyFont="1" applyFill="1" applyBorder="1" applyAlignment="1">
      <alignment horizontal="center" vertical="center"/>
    </xf>
    <xf numFmtId="179" fontId="187" fillId="47" borderId="46" xfId="0" applyNumberFormat="1" applyFont="1" applyFill="1" applyBorder="1" applyAlignment="1">
      <alignment horizontal="center" vertical="center"/>
    </xf>
    <xf numFmtId="179" fontId="187" fillId="47" borderId="0" xfId="0" applyNumberFormat="1" applyFont="1" applyFill="1" applyBorder="1" applyAlignment="1">
      <alignment horizontal="center" vertical="center"/>
    </xf>
    <xf numFmtId="179" fontId="187" fillId="47" borderId="37" xfId="0" applyNumberFormat="1" applyFont="1" applyFill="1" applyBorder="1" applyAlignment="1">
      <alignment horizontal="center" vertical="center"/>
    </xf>
    <xf numFmtId="179" fontId="186" fillId="49" borderId="34" xfId="0" applyNumberFormat="1" applyFont="1" applyFill="1" applyBorder="1" applyAlignment="1">
      <alignment horizontal="center" vertical="center"/>
    </xf>
    <xf numFmtId="179" fontId="186" fillId="49" borderId="35" xfId="0" applyNumberFormat="1" applyFont="1" applyFill="1" applyBorder="1" applyAlignment="1">
      <alignment horizontal="center" vertical="center"/>
    </xf>
    <xf numFmtId="179" fontId="186" fillId="0" borderId="52" xfId="0" applyNumberFormat="1" applyFont="1" applyFill="1" applyBorder="1" applyAlignment="1">
      <alignment horizontal="center" vertical="center" wrapText="1"/>
    </xf>
    <xf numFmtId="179" fontId="186" fillId="0" borderId="1" xfId="0" applyNumberFormat="1" applyFont="1" applyFill="1" applyBorder="1" applyAlignment="1">
      <alignment horizontal="center" vertical="center"/>
    </xf>
    <xf numFmtId="179" fontId="186" fillId="0" borderId="51" xfId="11177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 wrapText="1"/>
    </xf>
    <xf numFmtId="179" fontId="186" fillId="45" borderId="62" xfId="11177" applyNumberFormat="1" applyFont="1" applyFill="1" applyBorder="1" applyAlignment="1">
      <alignment horizontal="center" vertical="center"/>
    </xf>
    <xf numFmtId="179" fontId="186" fillId="45" borderId="55" xfId="0" applyNumberFormat="1" applyFont="1" applyFill="1" applyBorder="1" applyAlignment="1">
      <alignment horizontal="center" vertical="center" wrapText="1"/>
    </xf>
    <xf numFmtId="179" fontId="186" fillId="45" borderId="56" xfId="11177" applyNumberFormat="1" applyFont="1" applyFill="1" applyBorder="1" applyAlignment="1">
      <alignment horizontal="center" vertical="center"/>
    </xf>
    <xf numFmtId="179" fontId="186" fillId="45" borderId="71" xfId="11177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/>
    </xf>
    <xf numFmtId="179" fontId="186" fillId="38" borderId="56" xfId="0" applyNumberFormat="1" applyFont="1" applyFill="1" applyBorder="1" applyAlignment="1">
      <alignment horizontal="center"/>
    </xf>
    <xf numFmtId="179" fontId="186" fillId="47" borderId="25" xfId="0" applyNumberFormat="1" applyFont="1" applyFill="1" applyBorder="1" applyAlignment="1">
      <alignment horizontal="center"/>
    </xf>
    <xf numFmtId="179" fontId="186" fillId="45" borderId="70" xfId="0" applyNumberFormat="1" applyFont="1" applyFill="1" applyBorder="1" applyAlignment="1">
      <alignment horizontal="center" vertical="center" wrapText="1"/>
    </xf>
    <xf numFmtId="179" fontId="186" fillId="0" borderId="0" xfId="0" applyNumberFormat="1" applyFont="1" applyFill="1" applyBorder="1" applyAlignment="1">
      <alignment horizontal="center" vertical="center"/>
    </xf>
    <xf numFmtId="179" fontId="186" fillId="0" borderId="0" xfId="0" applyNumberFormat="1" applyFont="1" applyFill="1" applyBorder="1" applyAlignment="1">
      <alignment horizontal="center"/>
    </xf>
    <xf numFmtId="179" fontId="213" fillId="0" borderId="0" xfId="0" applyNumberFormat="1" applyFont="1" applyBorder="1" applyAlignment="1">
      <alignment horizontal="center"/>
    </xf>
    <xf numFmtId="179" fontId="186" fillId="0" borderId="0" xfId="0" applyNumberFormat="1" applyFont="1" applyBorder="1" applyAlignment="1">
      <alignment horizontal="center"/>
    </xf>
    <xf numFmtId="179" fontId="188" fillId="0" borderId="0" xfId="0" applyNumberFormat="1" applyFont="1" applyFill="1" applyBorder="1" applyAlignment="1">
      <alignment horizontal="center"/>
    </xf>
    <xf numFmtId="179" fontId="186" fillId="0" borderId="0" xfId="0" applyNumberFormat="1" applyFont="1" applyAlignment="1">
      <alignment horizontal="center"/>
    </xf>
    <xf numFmtId="0" fontId="187" fillId="49" borderId="54" xfId="0" applyFont="1" applyFill="1" applyBorder="1" applyAlignment="1">
      <alignment horizontal="center" vertical="center" wrapText="1"/>
    </xf>
    <xf numFmtId="0" fontId="187" fillId="49" borderId="49" xfId="0" applyFont="1" applyFill="1" applyBorder="1" applyAlignment="1">
      <alignment horizontal="center" vertical="center"/>
    </xf>
    <xf numFmtId="0" fontId="187" fillId="49" borderId="38" xfId="0" applyFont="1" applyFill="1" applyBorder="1" applyAlignment="1">
      <alignment horizontal="center" vertical="center"/>
    </xf>
    <xf numFmtId="179" fontId="187" fillId="49" borderId="54" xfId="0" applyNumberFormat="1" applyFont="1" applyFill="1" applyBorder="1" applyAlignment="1">
      <alignment horizontal="center" vertical="center"/>
    </xf>
    <xf numFmtId="179" fontId="187" fillId="49" borderId="49" xfId="0" applyNumberFormat="1" applyFont="1" applyFill="1" applyBorder="1" applyAlignment="1">
      <alignment horizontal="center" vertical="center"/>
    </xf>
    <xf numFmtId="179" fontId="187" fillId="49" borderId="38" xfId="0" applyNumberFormat="1" applyFont="1" applyFill="1" applyBorder="1" applyAlignment="1">
      <alignment horizontal="center" vertical="center"/>
    </xf>
    <xf numFmtId="0" fontId="187" fillId="49" borderId="53" xfId="0" applyFont="1" applyFill="1" applyBorder="1" applyAlignment="1">
      <alignment horizontal="center" vertical="center"/>
    </xf>
    <xf numFmtId="0" fontId="187" fillId="49" borderId="60" xfId="0" applyFont="1" applyFill="1" applyBorder="1" applyAlignment="1">
      <alignment horizontal="center" vertical="center"/>
    </xf>
    <xf numFmtId="0" fontId="187" fillId="49" borderId="61" xfId="0" applyFont="1" applyFill="1" applyBorder="1" applyAlignment="1">
      <alignment horizontal="center" vertical="center"/>
    </xf>
    <xf numFmtId="1" fontId="189" fillId="0" borderId="50" xfId="0" applyNumberFormat="1" applyFont="1" applyBorder="1" applyAlignment="1">
      <alignment horizontal="center" vertical="center"/>
    </xf>
    <xf numFmtId="1" fontId="189" fillId="0" borderId="62" xfId="0" applyNumberFormat="1" applyFont="1" applyBorder="1" applyAlignment="1">
      <alignment horizontal="center" vertical="center"/>
    </xf>
    <xf numFmtId="15" fontId="153" fillId="38" borderId="14" xfId="0" quotePrefix="1" applyNumberFormat="1" applyFont="1" applyFill="1" applyBorder="1" applyAlignment="1">
      <alignment horizontal="center"/>
    </xf>
    <xf numFmtId="15" fontId="153" fillId="38" borderId="15" xfId="0" quotePrefix="1" applyNumberFormat="1" applyFont="1" applyFill="1" applyBorder="1" applyAlignment="1">
      <alignment horizontal="center"/>
    </xf>
    <xf numFmtId="0" fontId="203" fillId="0" borderId="26" xfId="0" applyFont="1" applyFill="1" applyBorder="1" applyAlignment="1" applyProtection="1">
      <alignment horizontal="center" vertical="center"/>
      <protection locked="0"/>
    </xf>
    <xf numFmtId="0" fontId="203" fillId="0" borderId="35" xfId="0" applyFont="1" applyFill="1" applyBorder="1" applyAlignment="1" applyProtection="1">
      <alignment horizontal="center" vertical="center"/>
      <protection locked="0"/>
    </xf>
    <xf numFmtId="0" fontId="203" fillId="0" borderId="34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E112"/>
  <sheetViews>
    <sheetView tabSelected="1" zoomScaleNormal="100" zoomScaleSheetLayoutView="85" workbookViewId="0">
      <selection activeCell="M16" sqref="M16"/>
    </sheetView>
  </sheetViews>
  <sheetFormatPr defaultRowHeight="12.75" customHeight="1" x14ac:dyDescent="0.2"/>
  <cols>
    <col min="1" max="1" width="3" style="244" customWidth="1"/>
    <col min="2" max="2" width="44.85546875" style="84" customWidth="1"/>
    <col min="3" max="7" width="11" style="430" customWidth="1"/>
    <col min="8" max="8" width="5.140625" style="430" hidden="1" customWidth="1"/>
    <col min="9" max="9" width="11" style="430" customWidth="1"/>
    <col min="10" max="10" width="11" style="84" hidden="1" customWidth="1"/>
    <col min="11" max="11" width="11" style="92" hidden="1" customWidth="1"/>
    <col min="12" max="12" width="11" style="84" hidden="1" customWidth="1"/>
    <col min="13" max="13" width="10.28515625" style="84" customWidth="1"/>
    <col min="14" max="14" width="8.140625" style="84" customWidth="1"/>
    <col min="15" max="15" width="40.7109375" style="84" customWidth="1"/>
    <col min="16" max="16" width="10.28515625" style="86" customWidth="1"/>
    <col min="17" max="20" width="10.7109375" style="84" customWidth="1"/>
    <col min="21" max="21" width="11.5703125" style="84" bestFit="1" customWidth="1"/>
    <col min="22" max="28" width="10.7109375" style="84" customWidth="1"/>
    <col min="29" max="29" width="12" style="85" bestFit="1" customWidth="1"/>
    <col min="30" max="30" width="9.140625" style="84" customWidth="1"/>
    <col min="31" max="16384" width="9.140625" style="84"/>
  </cols>
  <sheetData>
    <row r="1" spans="1:31" ht="12.75" customHeight="1" x14ac:dyDescent="0.2">
      <c r="B1" s="269" t="s">
        <v>774</v>
      </c>
      <c r="C1" s="382"/>
      <c r="D1" s="382"/>
      <c r="E1" s="382"/>
      <c r="F1" s="382"/>
      <c r="G1" s="382"/>
      <c r="H1" s="382"/>
      <c r="I1" s="382"/>
      <c r="J1" s="243"/>
      <c r="K1" s="224"/>
      <c r="L1" s="87"/>
      <c r="M1" s="244"/>
      <c r="N1" s="244"/>
      <c r="O1" s="244"/>
      <c r="P1" s="243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5"/>
      <c r="AD1" s="244"/>
      <c r="AE1" s="89"/>
    </row>
    <row r="2" spans="1:31" ht="12.75" customHeight="1" x14ac:dyDescent="0.25">
      <c r="B2" s="252" t="s">
        <v>996</v>
      </c>
      <c r="C2" s="373" t="s">
        <v>1044</v>
      </c>
      <c r="D2" s="373">
        <v>5</v>
      </c>
      <c r="E2" s="382"/>
      <c r="F2" s="382"/>
      <c r="G2" s="382"/>
      <c r="H2" s="382"/>
      <c r="I2" s="382"/>
      <c r="J2" s="270"/>
      <c r="K2" s="225">
        <v>227</v>
      </c>
      <c r="L2" s="87"/>
      <c r="M2" s="244"/>
      <c r="N2" s="263"/>
      <c r="O2" s="263"/>
      <c r="P2" s="243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244"/>
      <c r="AE2" s="89"/>
    </row>
    <row r="3" spans="1:31" ht="12.75" customHeight="1" thickBot="1" x14ac:dyDescent="0.25">
      <c r="B3" s="271">
        <v>42886</v>
      </c>
      <c r="C3" s="382"/>
      <c r="D3" s="382"/>
      <c r="E3" s="382"/>
      <c r="F3" s="382"/>
      <c r="G3" s="382"/>
      <c r="H3" s="382"/>
      <c r="I3" s="382"/>
      <c r="J3" s="270"/>
      <c r="K3" s="226">
        <v>232</v>
      </c>
      <c r="L3" s="226">
        <v>213</v>
      </c>
      <c r="M3" s="244"/>
      <c r="N3" s="263"/>
      <c r="O3" s="263"/>
      <c r="P3" s="243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5"/>
      <c r="AD3" s="244"/>
      <c r="AE3" s="89"/>
    </row>
    <row r="4" spans="1:31" ht="12.75" customHeight="1" thickBot="1" x14ac:dyDescent="0.25">
      <c r="B4" s="243"/>
      <c r="C4" s="434" t="s">
        <v>948</v>
      </c>
      <c r="D4" s="435"/>
      <c r="E4" s="436"/>
      <c r="F4" s="434" t="s">
        <v>973</v>
      </c>
      <c r="G4" s="435"/>
      <c r="H4" s="435"/>
      <c r="I4" s="436"/>
      <c r="J4" s="431" t="s">
        <v>1021</v>
      </c>
      <c r="K4" s="432"/>
      <c r="L4" s="433"/>
      <c r="M4" s="284"/>
      <c r="N4" s="263"/>
      <c r="O4" s="437" t="s">
        <v>1005</v>
      </c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9"/>
      <c r="AE4" s="89"/>
    </row>
    <row r="5" spans="1:31" s="88" customFormat="1" ht="26.25" thickBot="1" x14ac:dyDescent="0.25">
      <c r="A5" s="264"/>
      <c r="B5" s="341"/>
      <c r="C5" s="374" t="s">
        <v>1020</v>
      </c>
      <c r="D5" s="375" t="s">
        <v>985</v>
      </c>
      <c r="E5" s="376" t="s">
        <v>1021</v>
      </c>
      <c r="F5" s="374" t="s">
        <v>1020</v>
      </c>
      <c r="G5" s="375" t="s">
        <v>985</v>
      </c>
      <c r="H5" s="377" t="s">
        <v>1008</v>
      </c>
      <c r="I5" s="376" t="s">
        <v>1021</v>
      </c>
      <c r="J5" s="317" t="s">
        <v>1021</v>
      </c>
      <c r="K5" s="318" t="s">
        <v>999</v>
      </c>
      <c r="L5" s="319" t="s">
        <v>995</v>
      </c>
      <c r="M5" s="320"/>
      <c r="N5" s="264"/>
      <c r="O5" s="308"/>
      <c r="P5" s="297" t="s">
        <v>1011</v>
      </c>
      <c r="Q5" s="272">
        <v>42736</v>
      </c>
      <c r="R5" s="272">
        <v>42767</v>
      </c>
      <c r="S5" s="272">
        <v>42795</v>
      </c>
      <c r="T5" s="272">
        <v>42826</v>
      </c>
      <c r="U5" s="272">
        <v>42856</v>
      </c>
      <c r="V5" s="272">
        <v>42887</v>
      </c>
      <c r="W5" s="272">
        <v>42917</v>
      </c>
      <c r="X5" s="272">
        <v>42948</v>
      </c>
      <c r="Y5" s="272">
        <v>42979</v>
      </c>
      <c r="Z5" s="272">
        <v>43009</v>
      </c>
      <c r="AA5" s="272">
        <v>43040</v>
      </c>
      <c r="AB5" s="272">
        <v>43070</v>
      </c>
      <c r="AC5" s="440" t="s">
        <v>1006</v>
      </c>
      <c r="AD5" s="441"/>
      <c r="AE5" s="227"/>
    </row>
    <row r="6" spans="1:31" ht="12.75" customHeight="1" x14ac:dyDescent="0.2">
      <c r="B6" s="279" t="s">
        <v>1057</v>
      </c>
      <c r="C6" s="383"/>
      <c r="D6" s="384"/>
      <c r="E6" s="385"/>
      <c r="F6" s="383"/>
      <c r="G6" s="384"/>
      <c r="H6" s="386"/>
      <c r="I6" s="385"/>
      <c r="J6" s="280"/>
      <c r="K6" s="223"/>
      <c r="L6" s="275"/>
      <c r="M6" s="244"/>
      <c r="N6" s="266"/>
      <c r="O6" s="313" t="s">
        <v>1057</v>
      </c>
      <c r="P6" s="30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91" t="b">
        <f>AC6=P6</f>
        <v>1</v>
      </c>
      <c r="AE6" s="89"/>
    </row>
    <row r="7" spans="1:31" ht="12.75" customHeight="1" x14ac:dyDescent="0.2">
      <c r="B7" s="284" t="s">
        <v>775</v>
      </c>
      <c r="C7" s="387">
        <f>'TB (2) - May'!D42-'TB (2) - May'!D45</f>
        <v>55954.49</v>
      </c>
      <c r="D7" s="388">
        <f>+C7-E7</f>
        <v>26787.82333333333</v>
      </c>
      <c r="E7" s="389">
        <f>Q7</f>
        <v>29166.666666666668</v>
      </c>
      <c r="F7" s="387">
        <f>-TB!D42-TB!D45</f>
        <v>156309.71</v>
      </c>
      <c r="G7" s="388">
        <f>+F7-I7</f>
        <v>10476.380000000005</v>
      </c>
      <c r="H7" s="390">
        <f>IFERROR(ROUND((G7/ABS(I7))*100,0),0)</f>
        <v>7</v>
      </c>
      <c r="I7" s="389">
        <f>ROUND(SUMIF($Q$5:$AB$5,"&lt;="&amp;$B$3,Q7:AB7),2)</f>
        <v>145833.32999999999</v>
      </c>
      <c r="J7" s="282">
        <v>350000</v>
      </c>
      <c r="K7" s="223">
        <f>+F7-L7</f>
        <v>-150990.29</v>
      </c>
      <c r="L7" s="275">
        <v>307300</v>
      </c>
      <c r="M7" s="244"/>
      <c r="N7" s="266"/>
      <c r="O7" s="312" t="s">
        <v>775</v>
      </c>
      <c r="P7" s="298">
        <v>350000</v>
      </c>
      <c r="Q7" s="247">
        <f t="shared" ref="Q7:AB7" si="0">$P7/12</f>
        <v>29166.666666666668</v>
      </c>
      <c r="R7" s="247">
        <f t="shared" si="0"/>
        <v>29166.666666666668</v>
      </c>
      <c r="S7" s="247">
        <f t="shared" si="0"/>
        <v>29166.666666666668</v>
      </c>
      <c r="T7" s="247">
        <f t="shared" si="0"/>
        <v>29166.666666666668</v>
      </c>
      <c r="U7" s="247">
        <f t="shared" si="0"/>
        <v>29166.666666666668</v>
      </c>
      <c r="V7" s="247">
        <f t="shared" si="0"/>
        <v>29166.666666666668</v>
      </c>
      <c r="W7" s="247">
        <f t="shared" si="0"/>
        <v>29166.666666666668</v>
      </c>
      <c r="X7" s="247">
        <f t="shared" si="0"/>
        <v>29166.666666666668</v>
      </c>
      <c r="Y7" s="247">
        <f t="shared" si="0"/>
        <v>29166.666666666668</v>
      </c>
      <c r="Z7" s="247">
        <f t="shared" si="0"/>
        <v>29166.666666666668</v>
      </c>
      <c r="AA7" s="247">
        <f t="shared" si="0"/>
        <v>29166.666666666668</v>
      </c>
      <c r="AB7" s="247">
        <f t="shared" si="0"/>
        <v>29166.666666666668</v>
      </c>
      <c r="AC7" s="247">
        <f>SUM(Q7:AB7)</f>
        <v>350000.00000000006</v>
      </c>
      <c r="AD7" s="292" t="b">
        <f>AC7=P7</f>
        <v>1</v>
      </c>
      <c r="AE7" s="89"/>
    </row>
    <row r="8" spans="1:31" ht="12.75" customHeight="1" thickBot="1" x14ac:dyDescent="0.25">
      <c r="B8" s="279" t="s">
        <v>1059</v>
      </c>
      <c r="C8" s="391">
        <f>SUM(C7)</f>
        <v>55954.49</v>
      </c>
      <c r="D8" s="392">
        <f>+C8-E8</f>
        <v>26787.82333333333</v>
      </c>
      <c r="E8" s="393">
        <f>SUM(E7)</f>
        <v>29166.666666666668</v>
      </c>
      <c r="F8" s="391">
        <f>SUM(F7)</f>
        <v>156309.71</v>
      </c>
      <c r="G8" s="392">
        <f>+F8-I8</f>
        <v>10476.380000000005</v>
      </c>
      <c r="H8" s="394"/>
      <c r="I8" s="393">
        <f>SUM(I7)</f>
        <v>145833.32999999999</v>
      </c>
      <c r="J8" s="280">
        <f>SUM(J7)</f>
        <v>350000</v>
      </c>
      <c r="K8" s="223"/>
      <c r="L8" s="275"/>
      <c r="M8" s="244"/>
      <c r="N8" s="266"/>
      <c r="O8" s="313" t="s">
        <v>1059</v>
      </c>
      <c r="P8" s="331">
        <f>SUM(P7)</f>
        <v>350000</v>
      </c>
      <c r="Q8" s="332">
        <f t="shared" ref="Q8:AC8" si="1">SUM(Q7)</f>
        <v>29166.666666666668</v>
      </c>
      <c r="R8" s="332">
        <f t="shared" si="1"/>
        <v>29166.666666666668</v>
      </c>
      <c r="S8" s="332">
        <f t="shared" si="1"/>
        <v>29166.666666666668</v>
      </c>
      <c r="T8" s="332">
        <f t="shared" si="1"/>
        <v>29166.666666666668</v>
      </c>
      <c r="U8" s="332">
        <f t="shared" si="1"/>
        <v>29166.666666666668</v>
      </c>
      <c r="V8" s="332">
        <f t="shared" si="1"/>
        <v>29166.666666666668</v>
      </c>
      <c r="W8" s="332">
        <f t="shared" si="1"/>
        <v>29166.666666666668</v>
      </c>
      <c r="X8" s="332">
        <f t="shared" si="1"/>
        <v>29166.666666666668</v>
      </c>
      <c r="Y8" s="332">
        <f t="shared" si="1"/>
        <v>29166.666666666668</v>
      </c>
      <c r="Z8" s="332">
        <f t="shared" si="1"/>
        <v>29166.666666666668</v>
      </c>
      <c r="AA8" s="332">
        <f t="shared" si="1"/>
        <v>29166.666666666668</v>
      </c>
      <c r="AB8" s="332">
        <f t="shared" si="1"/>
        <v>29166.666666666668</v>
      </c>
      <c r="AC8" s="332">
        <f t="shared" si="1"/>
        <v>350000.00000000006</v>
      </c>
      <c r="AD8" s="333" t="b">
        <f>AC8=P8</f>
        <v>1</v>
      </c>
      <c r="AE8" s="89"/>
    </row>
    <row r="9" spans="1:31" s="234" customFormat="1" ht="21.75" customHeight="1" thickBot="1" x14ac:dyDescent="0.35">
      <c r="A9" s="246"/>
      <c r="B9" s="344"/>
      <c r="C9" s="395"/>
      <c r="D9" s="395"/>
      <c r="E9" s="395"/>
      <c r="F9" s="395"/>
      <c r="G9" s="395"/>
      <c r="H9" s="395"/>
      <c r="I9" s="396"/>
      <c r="J9" s="342"/>
      <c r="K9" s="238"/>
      <c r="L9" s="273"/>
      <c r="M9" s="246"/>
      <c r="N9" s="265"/>
      <c r="O9" s="344"/>
      <c r="P9" s="353"/>
      <c r="Q9" s="345"/>
      <c r="R9" s="345"/>
      <c r="S9" s="345"/>
      <c r="T9" s="345"/>
      <c r="U9" s="345"/>
      <c r="V9" s="345"/>
      <c r="W9" s="345"/>
      <c r="X9" s="354"/>
      <c r="Y9" s="345"/>
      <c r="Z9" s="345"/>
      <c r="AA9" s="345"/>
      <c r="AB9" s="345"/>
      <c r="AC9" s="345"/>
      <c r="AD9" s="346"/>
      <c r="AE9" s="233"/>
    </row>
    <row r="10" spans="1:31" ht="12.75" customHeight="1" x14ac:dyDescent="0.2">
      <c r="B10" s="279" t="s">
        <v>1058</v>
      </c>
      <c r="C10" s="397"/>
      <c r="D10" s="398"/>
      <c r="E10" s="399"/>
      <c r="F10" s="397"/>
      <c r="G10" s="398"/>
      <c r="H10" s="400"/>
      <c r="I10" s="399"/>
      <c r="J10" s="280"/>
      <c r="K10" s="223"/>
      <c r="L10" s="275"/>
      <c r="M10" s="244"/>
      <c r="N10" s="266"/>
      <c r="O10" s="313" t="s">
        <v>1058</v>
      </c>
      <c r="P10" s="347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9"/>
      <c r="AE10" s="89"/>
    </row>
    <row r="11" spans="1:31" ht="12.75" customHeight="1" x14ac:dyDescent="0.2">
      <c r="B11" s="285" t="s">
        <v>1045</v>
      </c>
      <c r="C11" s="401"/>
      <c r="D11" s="388"/>
      <c r="E11" s="402"/>
      <c r="F11" s="401"/>
      <c r="G11" s="388"/>
      <c r="H11" s="403"/>
      <c r="I11" s="402"/>
      <c r="J11" s="288"/>
      <c r="K11" s="221"/>
      <c r="L11" s="222"/>
      <c r="M11" s="244"/>
      <c r="N11" s="266"/>
      <c r="O11" s="315" t="s">
        <v>1045</v>
      </c>
      <c r="P11" s="303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47"/>
      <c r="AD11" s="294"/>
      <c r="AE11" s="89"/>
    </row>
    <row r="12" spans="1:31" ht="12.75" customHeight="1" x14ac:dyDescent="0.2">
      <c r="B12" s="284" t="s">
        <v>928</v>
      </c>
      <c r="C12" s="387">
        <f>-'TB (2) - May'!D69-'TB (2) - May'!D70-'TB (2) - May'!D89-'TB (2) - May'!D110-'TB (2) - May'!D58</f>
        <v>-3295.17</v>
      </c>
      <c r="D12" s="388">
        <f>+C12-E12</f>
        <v>2538.163333333333</v>
      </c>
      <c r="E12" s="389">
        <f>T12</f>
        <v>-5833.333333333333</v>
      </c>
      <c r="F12" s="387">
        <f>-TB!D69-TB!D70-TB!D89-TB!D110-TB!D58</f>
        <v>-26521.22</v>
      </c>
      <c r="G12" s="388">
        <f>+F12-I12</f>
        <v>2645.4499999999971</v>
      </c>
      <c r="H12" s="390">
        <f>IFERROR(ROUND((G12/ABS(I12))*100,0),0)</f>
        <v>9</v>
      </c>
      <c r="I12" s="389">
        <f>ROUND(SUMIF($Q$5:$AB$5,"&lt;="&amp;$B$3,Q12:AB12),2)</f>
        <v>-29166.67</v>
      </c>
      <c r="J12" s="282">
        <v>-70000</v>
      </c>
      <c r="K12" s="223">
        <f>+F12-L12</f>
        <v>6412.9399999999951</v>
      </c>
      <c r="L12" s="277">
        <v>-32934.159999999996</v>
      </c>
      <c r="M12" s="244"/>
      <c r="N12" s="266"/>
      <c r="O12" s="312" t="s">
        <v>928</v>
      </c>
      <c r="P12" s="304">
        <v>-70000</v>
      </c>
      <c r="Q12" s="255">
        <f t="shared" ref="Q12:AB12" si="2">$P12/12</f>
        <v>-5833.333333333333</v>
      </c>
      <c r="R12" s="255">
        <f t="shared" si="2"/>
        <v>-5833.333333333333</v>
      </c>
      <c r="S12" s="255">
        <f t="shared" si="2"/>
        <v>-5833.333333333333</v>
      </c>
      <c r="T12" s="255">
        <f t="shared" si="2"/>
        <v>-5833.333333333333</v>
      </c>
      <c r="U12" s="255">
        <f t="shared" si="2"/>
        <v>-5833.333333333333</v>
      </c>
      <c r="V12" s="255">
        <f t="shared" si="2"/>
        <v>-5833.333333333333</v>
      </c>
      <c r="W12" s="255">
        <f t="shared" si="2"/>
        <v>-5833.333333333333</v>
      </c>
      <c r="X12" s="255">
        <f t="shared" si="2"/>
        <v>-5833.333333333333</v>
      </c>
      <c r="Y12" s="255">
        <f t="shared" si="2"/>
        <v>-5833.333333333333</v>
      </c>
      <c r="Z12" s="255">
        <f t="shared" si="2"/>
        <v>-5833.333333333333</v>
      </c>
      <c r="AA12" s="255">
        <f t="shared" si="2"/>
        <v>-5833.333333333333</v>
      </c>
      <c r="AB12" s="255">
        <f t="shared" si="2"/>
        <v>-5833.333333333333</v>
      </c>
      <c r="AC12" s="247">
        <f>SUM(Q12:AB12)</f>
        <v>-70000.000000000015</v>
      </c>
      <c r="AD12" s="294" t="b">
        <f>AC12=P12</f>
        <v>1</v>
      </c>
      <c r="AE12" s="89"/>
    </row>
    <row r="13" spans="1:31" ht="14.25" customHeight="1" x14ac:dyDescent="0.2">
      <c r="B13" s="285"/>
      <c r="C13" s="387"/>
      <c r="D13" s="388"/>
      <c r="E13" s="402"/>
      <c r="F13" s="401"/>
      <c r="G13" s="388"/>
      <c r="H13" s="403"/>
      <c r="I13" s="402"/>
      <c r="J13" s="288"/>
      <c r="K13" s="221"/>
      <c r="L13" s="222"/>
      <c r="M13" s="244"/>
      <c r="N13" s="266"/>
      <c r="O13" s="315"/>
      <c r="P13" s="303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47"/>
      <c r="AD13" s="293"/>
      <c r="AE13" s="89"/>
    </row>
    <row r="14" spans="1:31" ht="12.75" customHeight="1" x14ac:dyDescent="0.2">
      <c r="B14" s="285" t="s">
        <v>1046</v>
      </c>
      <c r="C14" s="387"/>
      <c r="D14" s="388"/>
      <c r="E14" s="402"/>
      <c r="F14" s="401"/>
      <c r="G14" s="388"/>
      <c r="H14" s="403"/>
      <c r="I14" s="402"/>
      <c r="J14" s="288"/>
      <c r="K14" s="221"/>
      <c r="L14" s="222"/>
      <c r="M14" s="244"/>
      <c r="N14" s="266"/>
      <c r="O14" s="315"/>
      <c r="P14" s="303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47"/>
      <c r="AD14" s="293"/>
      <c r="AE14" s="89"/>
    </row>
    <row r="15" spans="1:31" ht="12.75" customHeight="1" x14ac:dyDescent="0.2">
      <c r="B15" s="284" t="s">
        <v>784</v>
      </c>
      <c r="C15" s="387">
        <f>-'TB (2) - May'!D65-'TB (2) - May'!D71</f>
        <v>-689.02</v>
      </c>
      <c r="D15" s="388">
        <f>+C15-E15</f>
        <v>-272.3533333333333</v>
      </c>
      <c r="E15" s="389">
        <f>T15</f>
        <v>-416.66666666666669</v>
      </c>
      <c r="F15" s="387">
        <f>-TB!D65-TB!D71</f>
        <v>-10100.77</v>
      </c>
      <c r="G15" s="388">
        <f>+F15-I15</f>
        <v>-8017.4400000000005</v>
      </c>
      <c r="H15" s="390">
        <f>IFERROR(ROUND((G15/ABS(I15))*100,0),0)</f>
        <v>-385</v>
      </c>
      <c r="I15" s="389">
        <f>ROUND(SUMIF($Q$5:$AB$5,"&lt;="&amp;$B$3,Q15:AB15),2)</f>
        <v>-2083.33</v>
      </c>
      <c r="J15" s="282">
        <v>-5000</v>
      </c>
      <c r="K15" s="223">
        <f>+F15-L15</f>
        <v>-3623.1000000000004</v>
      </c>
      <c r="L15" s="277">
        <v>-6477.67</v>
      </c>
      <c r="M15" s="244"/>
      <c r="N15" s="266"/>
      <c r="O15" s="312" t="s">
        <v>784</v>
      </c>
      <c r="P15" s="304">
        <v>-5000</v>
      </c>
      <c r="Q15" s="255">
        <f t="shared" ref="Q15:AB16" si="3">$P15/12</f>
        <v>-416.66666666666669</v>
      </c>
      <c r="R15" s="255">
        <f t="shared" si="3"/>
        <v>-416.66666666666669</v>
      </c>
      <c r="S15" s="255">
        <f t="shared" si="3"/>
        <v>-416.66666666666669</v>
      </c>
      <c r="T15" s="255">
        <f t="shared" si="3"/>
        <v>-416.66666666666669</v>
      </c>
      <c r="U15" s="255">
        <f t="shared" si="3"/>
        <v>-416.66666666666669</v>
      </c>
      <c r="V15" s="255">
        <f t="shared" si="3"/>
        <v>-416.66666666666669</v>
      </c>
      <c r="W15" s="255">
        <f t="shared" si="3"/>
        <v>-416.66666666666669</v>
      </c>
      <c r="X15" s="255">
        <f t="shared" si="3"/>
        <v>-416.66666666666669</v>
      </c>
      <c r="Y15" s="255">
        <f t="shared" si="3"/>
        <v>-416.66666666666669</v>
      </c>
      <c r="Z15" s="255">
        <f t="shared" si="3"/>
        <v>-416.66666666666669</v>
      </c>
      <c r="AA15" s="255">
        <f t="shared" si="3"/>
        <v>-416.66666666666669</v>
      </c>
      <c r="AB15" s="255">
        <f t="shared" si="3"/>
        <v>-416.66666666666669</v>
      </c>
      <c r="AC15" s="247">
        <f>SUM(Q15:AB15)</f>
        <v>-5000</v>
      </c>
      <c r="AD15" s="293" t="b">
        <f>AC15=P15</f>
        <v>1</v>
      </c>
      <c r="AE15" s="89"/>
    </row>
    <row r="16" spans="1:31" ht="12.75" customHeight="1" x14ac:dyDescent="0.2">
      <c r="B16" s="284" t="s">
        <v>971</v>
      </c>
      <c r="C16" s="387">
        <f>-'TB (2) - May'!D74</f>
        <v>-4440</v>
      </c>
      <c r="D16" s="388">
        <f>+C16-E16</f>
        <v>-273.33333333333303</v>
      </c>
      <c r="E16" s="389">
        <f>T16</f>
        <v>-4166.666666666667</v>
      </c>
      <c r="F16" s="387">
        <f>-TB!D74</f>
        <v>-24560</v>
      </c>
      <c r="G16" s="388">
        <f>+F16-I16</f>
        <v>-3726.6699999999983</v>
      </c>
      <c r="H16" s="390">
        <f>IFERROR(ROUND((G16/ABS(I16))*100,0),0)</f>
        <v>-18</v>
      </c>
      <c r="I16" s="389">
        <f>ROUND(SUMIF($Q$5:$AB$5,"&lt;="&amp;$B$3,Q16:AB16),2)</f>
        <v>-20833.330000000002</v>
      </c>
      <c r="J16" s="282">
        <v>-50000</v>
      </c>
      <c r="K16" s="223">
        <f>+F16-L16</f>
        <v>440</v>
      </c>
      <c r="L16" s="277">
        <v>-25000</v>
      </c>
      <c r="M16" s="244"/>
      <c r="N16" s="266"/>
      <c r="O16" s="312" t="s">
        <v>971</v>
      </c>
      <c r="P16" s="304">
        <v>-50000</v>
      </c>
      <c r="Q16" s="255">
        <f t="shared" si="3"/>
        <v>-4166.666666666667</v>
      </c>
      <c r="R16" s="255">
        <f t="shared" si="3"/>
        <v>-4166.666666666667</v>
      </c>
      <c r="S16" s="255">
        <f t="shared" si="3"/>
        <v>-4166.666666666667</v>
      </c>
      <c r="T16" s="255">
        <f t="shared" si="3"/>
        <v>-4166.666666666667</v>
      </c>
      <c r="U16" s="255">
        <f t="shared" si="3"/>
        <v>-4166.666666666667</v>
      </c>
      <c r="V16" s="255">
        <f t="shared" si="3"/>
        <v>-4166.666666666667</v>
      </c>
      <c r="W16" s="255">
        <f t="shared" si="3"/>
        <v>-4166.666666666667</v>
      </c>
      <c r="X16" s="255">
        <f t="shared" si="3"/>
        <v>-4166.666666666667</v>
      </c>
      <c r="Y16" s="255">
        <f t="shared" si="3"/>
        <v>-4166.666666666667</v>
      </c>
      <c r="Z16" s="255">
        <f t="shared" si="3"/>
        <v>-4166.666666666667</v>
      </c>
      <c r="AA16" s="255">
        <f t="shared" si="3"/>
        <v>-4166.666666666667</v>
      </c>
      <c r="AB16" s="255">
        <f t="shared" si="3"/>
        <v>-4166.666666666667</v>
      </c>
      <c r="AC16" s="247">
        <f>SUM(Q16:AB16)</f>
        <v>-49999.999999999993</v>
      </c>
      <c r="AD16" s="293" t="b">
        <f>AC16=P16</f>
        <v>1</v>
      </c>
      <c r="AE16" s="89"/>
    </row>
    <row r="17" spans="1:31" ht="12" customHeight="1" x14ac:dyDescent="0.2">
      <c r="B17" s="285"/>
      <c r="C17" s="387"/>
      <c r="D17" s="388"/>
      <c r="E17" s="402"/>
      <c r="F17" s="401"/>
      <c r="G17" s="388"/>
      <c r="H17" s="403"/>
      <c r="I17" s="402"/>
      <c r="J17" s="288"/>
      <c r="K17" s="221"/>
      <c r="L17" s="222"/>
      <c r="M17" s="244"/>
      <c r="N17" s="266"/>
      <c r="O17" s="315"/>
      <c r="P17" s="303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47"/>
      <c r="AD17" s="293"/>
      <c r="AE17" s="89"/>
    </row>
    <row r="18" spans="1:31" ht="12.75" customHeight="1" x14ac:dyDescent="0.2">
      <c r="B18" s="285" t="s">
        <v>739</v>
      </c>
      <c r="C18" s="387"/>
      <c r="D18" s="388"/>
      <c r="E18" s="402"/>
      <c r="F18" s="401"/>
      <c r="G18" s="388"/>
      <c r="H18" s="403"/>
      <c r="I18" s="402"/>
      <c r="J18" s="288"/>
      <c r="K18" s="221"/>
      <c r="L18" s="222"/>
      <c r="M18" s="244"/>
      <c r="N18" s="266"/>
      <c r="O18" s="315"/>
      <c r="P18" s="303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47"/>
      <c r="AD18" s="293"/>
      <c r="AE18" s="89"/>
    </row>
    <row r="19" spans="1:31" ht="12.75" customHeight="1" x14ac:dyDescent="0.2">
      <c r="B19" s="284" t="s">
        <v>819</v>
      </c>
      <c r="C19" s="387">
        <f>-'TB (2) - May'!D107</f>
        <v>-5897.5</v>
      </c>
      <c r="D19" s="388">
        <f>+C19-E19</f>
        <v>-480.83333333333303</v>
      </c>
      <c r="E19" s="389">
        <f>T19</f>
        <v>-5416.666666666667</v>
      </c>
      <c r="F19" s="387">
        <f>-TB!D107</f>
        <v>-31142.5</v>
      </c>
      <c r="G19" s="388">
        <f>+F19-I19</f>
        <v>-4059.1699999999983</v>
      </c>
      <c r="H19" s="390">
        <f>IFERROR(ROUND((G19/ABS(I19))*100,0),0)</f>
        <v>-15</v>
      </c>
      <c r="I19" s="389">
        <f>ROUND(SUMIF($Q$5:$AB$5,"&lt;="&amp;$B$3,Q19:AB19),2)</f>
        <v>-27083.33</v>
      </c>
      <c r="J19" s="282">
        <v>-65000</v>
      </c>
      <c r="K19" s="223">
        <f>+F19-L19</f>
        <v>45018.41</v>
      </c>
      <c r="L19" s="277">
        <v>-76160.91</v>
      </c>
      <c r="M19" s="244"/>
      <c r="N19" s="266"/>
      <c r="O19" s="312" t="s">
        <v>819</v>
      </c>
      <c r="P19" s="304">
        <v>-65000</v>
      </c>
      <c r="Q19" s="255">
        <f t="shared" ref="Q19:AB21" si="4">$P19/12</f>
        <v>-5416.666666666667</v>
      </c>
      <c r="R19" s="255">
        <f t="shared" si="4"/>
        <v>-5416.666666666667</v>
      </c>
      <c r="S19" s="255">
        <f t="shared" si="4"/>
        <v>-5416.666666666667</v>
      </c>
      <c r="T19" s="255">
        <f t="shared" si="4"/>
        <v>-5416.666666666667</v>
      </c>
      <c r="U19" s="255">
        <f t="shared" si="4"/>
        <v>-5416.666666666667</v>
      </c>
      <c r="V19" s="255">
        <f t="shared" si="4"/>
        <v>-5416.666666666667</v>
      </c>
      <c r="W19" s="255">
        <f t="shared" si="4"/>
        <v>-5416.666666666667</v>
      </c>
      <c r="X19" s="255">
        <f t="shared" si="4"/>
        <v>-5416.666666666667</v>
      </c>
      <c r="Y19" s="255">
        <f t="shared" si="4"/>
        <v>-5416.666666666667</v>
      </c>
      <c r="Z19" s="255">
        <f t="shared" si="4"/>
        <v>-5416.666666666667</v>
      </c>
      <c r="AA19" s="255">
        <f t="shared" si="4"/>
        <v>-5416.666666666667</v>
      </c>
      <c r="AB19" s="255">
        <f t="shared" si="4"/>
        <v>-5416.666666666667</v>
      </c>
      <c r="AC19" s="247">
        <f>SUM(Q19:AB19)</f>
        <v>-64999.999999999993</v>
      </c>
      <c r="AD19" s="293" t="b">
        <f>AC19=P19</f>
        <v>1</v>
      </c>
      <c r="AE19" s="89"/>
    </row>
    <row r="20" spans="1:31" ht="12.75" customHeight="1" x14ac:dyDescent="0.2">
      <c r="B20" s="284" t="s">
        <v>820</v>
      </c>
      <c r="C20" s="387">
        <f>-'TB (2) - May'!D108</f>
        <v>-547.85</v>
      </c>
      <c r="D20" s="388">
        <f>+C20-E20</f>
        <v>452.15</v>
      </c>
      <c r="E20" s="389">
        <f>T20</f>
        <v>-1000</v>
      </c>
      <c r="F20" s="387">
        <f>-TB!D108</f>
        <v>-2166.4699999999998</v>
      </c>
      <c r="G20" s="388">
        <f>+F20-I20</f>
        <v>2833.53</v>
      </c>
      <c r="H20" s="390">
        <f>IFERROR(ROUND((G20/ABS(I20))*100,0),0)</f>
        <v>57</v>
      </c>
      <c r="I20" s="389">
        <f>ROUND(SUMIF($Q$5:$AB$5,"&lt;="&amp;$B$3,Q20:AB20),2)</f>
        <v>-5000</v>
      </c>
      <c r="J20" s="282">
        <v>-12000</v>
      </c>
      <c r="K20" s="223">
        <f>+F20-L20</f>
        <v>6833.5300000000007</v>
      </c>
      <c r="L20" s="277">
        <v>-9000</v>
      </c>
      <c r="M20" s="244"/>
      <c r="N20" s="266"/>
      <c r="O20" s="312" t="s">
        <v>820</v>
      </c>
      <c r="P20" s="304">
        <v>-12000</v>
      </c>
      <c r="Q20" s="255">
        <f t="shared" si="4"/>
        <v>-1000</v>
      </c>
      <c r="R20" s="255">
        <f t="shared" si="4"/>
        <v>-1000</v>
      </c>
      <c r="S20" s="255">
        <f t="shared" si="4"/>
        <v>-1000</v>
      </c>
      <c r="T20" s="255">
        <f t="shared" si="4"/>
        <v>-1000</v>
      </c>
      <c r="U20" s="255">
        <f t="shared" si="4"/>
        <v>-1000</v>
      </c>
      <c r="V20" s="255">
        <f t="shared" si="4"/>
        <v>-1000</v>
      </c>
      <c r="W20" s="255">
        <f t="shared" si="4"/>
        <v>-1000</v>
      </c>
      <c r="X20" s="255">
        <f t="shared" si="4"/>
        <v>-1000</v>
      </c>
      <c r="Y20" s="255">
        <f t="shared" si="4"/>
        <v>-1000</v>
      </c>
      <c r="Z20" s="255">
        <f t="shared" si="4"/>
        <v>-1000</v>
      </c>
      <c r="AA20" s="255">
        <f t="shared" si="4"/>
        <v>-1000</v>
      </c>
      <c r="AB20" s="255">
        <f t="shared" si="4"/>
        <v>-1000</v>
      </c>
      <c r="AC20" s="247">
        <f>SUM(Q20:AB20)</f>
        <v>-12000</v>
      </c>
      <c r="AD20" s="293" t="b">
        <f>AC20=P20</f>
        <v>1</v>
      </c>
      <c r="AE20" s="89"/>
    </row>
    <row r="21" spans="1:31" ht="12.75" customHeight="1" x14ac:dyDescent="0.2">
      <c r="B21" s="284" t="s">
        <v>776</v>
      </c>
      <c r="C21" s="387">
        <f>-'TB (2) - May'!D104</f>
        <v>-5903.19</v>
      </c>
      <c r="D21" s="388">
        <f>+C21-E21</f>
        <v>-4069.8566666666666</v>
      </c>
      <c r="E21" s="389">
        <f>T21</f>
        <v>-1833.3333333333333</v>
      </c>
      <c r="F21" s="387">
        <f>-TB!D104</f>
        <v>-7228.63</v>
      </c>
      <c r="G21" s="388">
        <f>+F21-I21</f>
        <v>1938.04</v>
      </c>
      <c r="H21" s="390">
        <f>IFERROR(ROUND((G21/ABS(I21))*100,0),0)</f>
        <v>21</v>
      </c>
      <c r="I21" s="389">
        <f>ROUND(SUMIF($Q$5:$AB$5,"&lt;="&amp;$B$3,Q21:AB21),2)</f>
        <v>-9166.67</v>
      </c>
      <c r="J21" s="282">
        <v>-22000</v>
      </c>
      <c r="K21" s="223">
        <f>+F21-L21</f>
        <v>7936.13</v>
      </c>
      <c r="L21" s="277">
        <v>-15164.76</v>
      </c>
      <c r="M21" s="244"/>
      <c r="N21" s="266"/>
      <c r="O21" s="312" t="s">
        <v>776</v>
      </c>
      <c r="P21" s="304">
        <v>-22000</v>
      </c>
      <c r="Q21" s="255">
        <f t="shared" si="4"/>
        <v>-1833.3333333333333</v>
      </c>
      <c r="R21" s="255">
        <f t="shared" si="4"/>
        <v>-1833.3333333333333</v>
      </c>
      <c r="S21" s="255">
        <f t="shared" si="4"/>
        <v>-1833.3333333333333</v>
      </c>
      <c r="T21" s="255">
        <f t="shared" si="4"/>
        <v>-1833.3333333333333</v>
      </c>
      <c r="U21" s="255">
        <f t="shared" si="4"/>
        <v>-1833.3333333333333</v>
      </c>
      <c r="V21" s="255">
        <f t="shared" si="4"/>
        <v>-1833.3333333333333</v>
      </c>
      <c r="W21" s="255">
        <f t="shared" si="4"/>
        <v>-1833.3333333333333</v>
      </c>
      <c r="X21" s="255">
        <f t="shared" si="4"/>
        <v>-1833.3333333333333</v>
      </c>
      <c r="Y21" s="255">
        <f t="shared" si="4"/>
        <v>-1833.3333333333333</v>
      </c>
      <c r="Z21" s="255">
        <f t="shared" si="4"/>
        <v>-1833.3333333333333</v>
      </c>
      <c r="AA21" s="255">
        <f t="shared" si="4"/>
        <v>-1833.3333333333333</v>
      </c>
      <c r="AB21" s="255">
        <f t="shared" si="4"/>
        <v>-1833.3333333333333</v>
      </c>
      <c r="AC21" s="247">
        <f>SUM(Q21:AB21)</f>
        <v>-21999.999999999996</v>
      </c>
      <c r="AD21" s="293" t="b">
        <f>AC21=P21</f>
        <v>1</v>
      </c>
      <c r="AE21" s="89"/>
    </row>
    <row r="22" spans="1:31" ht="12.75" customHeight="1" x14ac:dyDescent="0.2">
      <c r="B22" s="284" t="s">
        <v>1054</v>
      </c>
      <c r="C22" s="387">
        <f>ROUND(-27500/12,2)</f>
        <v>-2291.67</v>
      </c>
      <c r="D22" s="388">
        <f>+C22-E22</f>
        <v>-3.3333333335576754E-3</v>
      </c>
      <c r="E22" s="389">
        <f>-27500/12</f>
        <v>-2291.6666666666665</v>
      </c>
      <c r="F22" s="387">
        <f>ROUND(C22*D2,2)</f>
        <v>-11458.35</v>
      </c>
      <c r="G22" s="388">
        <f>+F22-I22</f>
        <v>-2.0000000000436557E-2</v>
      </c>
      <c r="H22" s="390"/>
      <c r="I22" s="389">
        <f>ROUND(SUMIF($Q$5:$AB$5,"&lt;="&amp;$B$3,Q22:AB22),2)</f>
        <v>-11458.33</v>
      </c>
      <c r="J22" s="282">
        <f>P22</f>
        <v>-27500</v>
      </c>
      <c r="K22" s="223"/>
      <c r="L22" s="277"/>
      <c r="M22" s="244"/>
      <c r="N22" s="266"/>
      <c r="O22" s="312" t="s">
        <v>1054</v>
      </c>
      <c r="P22" s="304">
        <v>-27500</v>
      </c>
      <c r="Q22" s="255">
        <f>P22/12</f>
        <v>-2291.6666666666665</v>
      </c>
      <c r="R22" s="255">
        <f t="shared" ref="R22:AB22" si="5">$P22/12</f>
        <v>-2291.6666666666665</v>
      </c>
      <c r="S22" s="255">
        <f t="shared" si="5"/>
        <v>-2291.6666666666665</v>
      </c>
      <c r="T22" s="255">
        <f t="shared" si="5"/>
        <v>-2291.6666666666665</v>
      </c>
      <c r="U22" s="255">
        <f t="shared" si="5"/>
        <v>-2291.6666666666665</v>
      </c>
      <c r="V22" s="255">
        <f t="shared" si="5"/>
        <v>-2291.6666666666665</v>
      </c>
      <c r="W22" s="255">
        <f t="shared" si="5"/>
        <v>-2291.6666666666665</v>
      </c>
      <c r="X22" s="255">
        <f t="shared" si="5"/>
        <v>-2291.6666666666665</v>
      </c>
      <c r="Y22" s="255">
        <f t="shared" si="5"/>
        <v>-2291.6666666666665</v>
      </c>
      <c r="Z22" s="255">
        <f t="shared" si="5"/>
        <v>-2291.6666666666665</v>
      </c>
      <c r="AA22" s="255">
        <f t="shared" si="5"/>
        <v>-2291.6666666666665</v>
      </c>
      <c r="AB22" s="255">
        <f t="shared" si="5"/>
        <v>-2291.6666666666665</v>
      </c>
      <c r="AC22" s="247">
        <f>SUM(Q22:AB22)</f>
        <v>-27500.000000000004</v>
      </c>
      <c r="AD22" s="293" t="b">
        <f>AC22=P22</f>
        <v>1</v>
      </c>
      <c r="AE22" s="89"/>
    </row>
    <row r="23" spans="1:31" ht="12.75" customHeight="1" thickBot="1" x14ac:dyDescent="0.25">
      <c r="B23" s="360" t="s">
        <v>1060</v>
      </c>
      <c r="C23" s="404">
        <f>SUM(C12:C22)</f>
        <v>-23064.400000000001</v>
      </c>
      <c r="D23" s="405">
        <f>+C23-E23</f>
        <v>-2106.0666666666657</v>
      </c>
      <c r="E23" s="404">
        <f>SUM(E12:E22)</f>
        <v>-20958.333333333336</v>
      </c>
      <c r="F23" s="404">
        <f>SUM(F12:F22)</f>
        <v>-113177.94000000002</v>
      </c>
      <c r="G23" s="405">
        <f>+F23-I23</f>
        <v>-8386.2800000000134</v>
      </c>
      <c r="H23" s="404">
        <f>SUM(H12:H22)</f>
        <v>-331</v>
      </c>
      <c r="I23" s="406">
        <f>SUM(I12:I22)</f>
        <v>-104791.66</v>
      </c>
      <c r="J23" s="280">
        <f>SUM(J12:J22)</f>
        <v>-251500</v>
      </c>
      <c r="K23" s="223"/>
      <c r="L23" s="275"/>
      <c r="M23" s="244"/>
      <c r="N23" s="266"/>
      <c r="O23" s="361" t="s">
        <v>1060</v>
      </c>
      <c r="P23" s="362">
        <f>SUM(P12:P22)</f>
        <v>-251500</v>
      </c>
      <c r="Q23" s="362">
        <f t="shared" ref="Q23:AC23" si="6">SUM(Q12:Q22)</f>
        <v>-20958.333333333336</v>
      </c>
      <c r="R23" s="362">
        <f t="shared" si="6"/>
        <v>-20958.333333333336</v>
      </c>
      <c r="S23" s="362">
        <f t="shared" si="6"/>
        <v>-20958.333333333336</v>
      </c>
      <c r="T23" s="362">
        <f t="shared" si="6"/>
        <v>-20958.333333333336</v>
      </c>
      <c r="U23" s="362">
        <f t="shared" si="6"/>
        <v>-20958.333333333336</v>
      </c>
      <c r="V23" s="362">
        <f t="shared" si="6"/>
        <v>-20958.333333333336</v>
      </c>
      <c r="W23" s="362">
        <f t="shared" si="6"/>
        <v>-20958.333333333336</v>
      </c>
      <c r="X23" s="362">
        <f t="shared" si="6"/>
        <v>-20958.333333333336</v>
      </c>
      <c r="Y23" s="362">
        <f t="shared" si="6"/>
        <v>-20958.333333333336</v>
      </c>
      <c r="Z23" s="362">
        <f t="shared" si="6"/>
        <v>-20958.333333333336</v>
      </c>
      <c r="AA23" s="362">
        <f t="shared" si="6"/>
        <v>-20958.333333333336</v>
      </c>
      <c r="AB23" s="362">
        <f t="shared" si="6"/>
        <v>-20958.333333333336</v>
      </c>
      <c r="AC23" s="362">
        <f t="shared" si="6"/>
        <v>-251500</v>
      </c>
      <c r="AD23" s="363" t="b">
        <f>AC23=P23</f>
        <v>1</v>
      </c>
      <c r="AE23" s="89"/>
    </row>
    <row r="24" spans="1:31" s="234" customFormat="1" ht="21.75" customHeight="1" thickBot="1" x14ac:dyDescent="0.35">
      <c r="A24" s="246"/>
      <c r="B24" s="338"/>
      <c r="C24" s="407"/>
      <c r="D24" s="407"/>
      <c r="E24" s="407"/>
      <c r="F24" s="407"/>
      <c r="G24" s="407"/>
      <c r="H24" s="407"/>
      <c r="I24" s="408"/>
      <c r="J24" s="336"/>
      <c r="K24" s="238"/>
      <c r="L24" s="273"/>
      <c r="M24" s="246"/>
      <c r="N24" s="265"/>
      <c r="O24" s="338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40"/>
      <c r="AE24" s="334"/>
    </row>
    <row r="25" spans="1:31" ht="12.75" customHeight="1" thickBot="1" x14ac:dyDescent="0.25">
      <c r="B25" s="372" t="s">
        <v>1061</v>
      </c>
      <c r="C25" s="378">
        <f>C8+C23</f>
        <v>32890.089999999997</v>
      </c>
      <c r="D25" s="378">
        <f>+C25-E25</f>
        <v>24681.756666666664</v>
      </c>
      <c r="E25" s="378">
        <f>E8+E23</f>
        <v>8208.3333333333321</v>
      </c>
      <c r="F25" s="378">
        <f>F8+F23</f>
        <v>43131.769999999975</v>
      </c>
      <c r="G25" s="378">
        <f>+F25-I25</f>
        <v>2090.0999999999913</v>
      </c>
      <c r="H25" s="378"/>
      <c r="I25" s="378">
        <f>I8+I23</f>
        <v>41041.669999999984</v>
      </c>
      <c r="J25" s="322"/>
      <c r="K25" s="235"/>
      <c r="L25" s="235"/>
      <c r="M25" s="284"/>
      <c r="N25" s="244"/>
      <c r="O25" s="323" t="s">
        <v>1061</v>
      </c>
      <c r="P25" s="321">
        <f>+P8+P23</f>
        <v>98500</v>
      </c>
      <c r="Q25" s="321">
        <f t="shared" ref="Q25:AC25" si="7">+Q8+Q23</f>
        <v>8208.3333333333321</v>
      </c>
      <c r="R25" s="321">
        <f t="shared" si="7"/>
        <v>8208.3333333333321</v>
      </c>
      <c r="S25" s="321">
        <f t="shared" si="7"/>
        <v>8208.3333333333321</v>
      </c>
      <c r="T25" s="321">
        <f t="shared" si="7"/>
        <v>8208.3333333333321</v>
      </c>
      <c r="U25" s="321">
        <f t="shared" si="7"/>
        <v>8208.3333333333321</v>
      </c>
      <c r="V25" s="321">
        <f t="shared" si="7"/>
        <v>8208.3333333333321</v>
      </c>
      <c r="W25" s="321">
        <f t="shared" si="7"/>
        <v>8208.3333333333321</v>
      </c>
      <c r="X25" s="321">
        <f t="shared" si="7"/>
        <v>8208.3333333333321</v>
      </c>
      <c r="Y25" s="321">
        <f t="shared" si="7"/>
        <v>8208.3333333333321</v>
      </c>
      <c r="Z25" s="321">
        <f t="shared" si="7"/>
        <v>8208.3333333333321</v>
      </c>
      <c r="AA25" s="321">
        <f t="shared" si="7"/>
        <v>8208.3333333333321</v>
      </c>
      <c r="AB25" s="321">
        <f t="shared" si="7"/>
        <v>8208.3333333333321</v>
      </c>
      <c r="AC25" s="321">
        <f t="shared" si="7"/>
        <v>98500.000000000058</v>
      </c>
      <c r="AD25" s="322"/>
      <c r="AE25" s="89"/>
    </row>
    <row r="26" spans="1:31" s="234" customFormat="1" ht="21.75" customHeight="1" thickBot="1" x14ac:dyDescent="0.35">
      <c r="A26" s="246"/>
      <c r="B26" s="335"/>
      <c r="C26" s="409"/>
      <c r="D26" s="409"/>
      <c r="E26" s="409"/>
      <c r="F26" s="409"/>
      <c r="G26" s="409"/>
      <c r="H26" s="409"/>
      <c r="I26" s="410"/>
      <c r="J26" s="336"/>
      <c r="K26" s="238"/>
      <c r="L26" s="273"/>
      <c r="M26" s="246"/>
      <c r="N26" s="265"/>
      <c r="O26" s="335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67"/>
      <c r="AE26" s="334"/>
    </row>
    <row r="27" spans="1:31" s="234" customFormat="1" ht="21.75" customHeight="1" thickBot="1" x14ac:dyDescent="0.35">
      <c r="A27" s="246"/>
      <c r="B27" s="327" t="s">
        <v>1064</v>
      </c>
      <c r="C27" s="411"/>
      <c r="D27" s="411"/>
      <c r="E27" s="411"/>
      <c r="F27" s="411"/>
      <c r="G27" s="411"/>
      <c r="H27" s="411"/>
      <c r="I27" s="412"/>
      <c r="J27" s="352"/>
      <c r="K27" s="238"/>
      <c r="L27" s="273"/>
      <c r="M27" s="246"/>
      <c r="N27" s="265"/>
      <c r="O27" s="327" t="s">
        <v>1064</v>
      </c>
      <c r="P27" s="321"/>
      <c r="Q27" s="350"/>
      <c r="R27" s="350"/>
      <c r="S27" s="350"/>
      <c r="T27" s="350"/>
      <c r="U27" s="350"/>
      <c r="V27" s="350"/>
      <c r="W27" s="350"/>
      <c r="X27" s="351"/>
      <c r="Y27" s="350"/>
      <c r="Z27" s="350"/>
      <c r="AA27" s="350"/>
      <c r="AB27" s="350"/>
      <c r="AC27" s="350"/>
      <c r="AD27" s="352"/>
      <c r="AE27" s="233"/>
    </row>
    <row r="28" spans="1:31" ht="12.75" customHeight="1" x14ac:dyDescent="0.2">
      <c r="B28" s="279" t="s">
        <v>1035</v>
      </c>
      <c r="C28" s="397"/>
      <c r="D28" s="398"/>
      <c r="E28" s="399"/>
      <c r="F28" s="397"/>
      <c r="G28" s="398"/>
      <c r="H28" s="400"/>
      <c r="I28" s="399"/>
      <c r="J28" s="328"/>
      <c r="K28" s="236"/>
      <c r="L28" s="274"/>
      <c r="M28" s="244"/>
      <c r="N28" s="244"/>
      <c r="O28" s="309" t="s">
        <v>1035</v>
      </c>
      <c r="P28" s="369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1"/>
      <c r="AD28" s="349"/>
      <c r="AE28" s="89"/>
    </row>
    <row r="29" spans="1:31" ht="12.75" customHeight="1" x14ac:dyDescent="0.2">
      <c r="B29" s="281" t="s">
        <v>782</v>
      </c>
      <c r="C29" s="387">
        <f>'TB (2) - May'!C36</f>
        <v>0</v>
      </c>
      <c r="D29" s="388">
        <f>+C29-E29</f>
        <v>0</v>
      </c>
      <c r="E29" s="389">
        <f>Q29</f>
        <v>0</v>
      </c>
      <c r="F29" s="387">
        <f>-TB!C36</f>
        <v>12</v>
      </c>
      <c r="G29" s="388">
        <f>+F29-I29</f>
        <v>12</v>
      </c>
      <c r="H29" s="390">
        <f>IFERROR(ROUND((G29/ABS(I29))*100,0),0)</f>
        <v>0</v>
      </c>
      <c r="I29" s="389">
        <f>ROUND(SUMIF($Q$5:$AB$5,"&lt;="&amp;$B$3,Q29:AB29),2)</f>
        <v>0</v>
      </c>
      <c r="J29" s="282">
        <v>0</v>
      </c>
      <c r="K29" s="223">
        <f>+F29-L29</f>
        <v>-488</v>
      </c>
      <c r="L29" s="275">
        <v>500</v>
      </c>
      <c r="M29" s="244"/>
      <c r="N29" s="244"/>
      <c r="O29" s="310" t="s">
        <v>782</v>
      </c>
      <c r="P29" s="298">
        <v>0</v>
      </c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>
        <f t="shared" ref="AC29:AC41" si="8">SUM(Q29:AB29)</f>
        <v>0</v>
      </c>
      <c r="AD29" s="292" t="b">
        <f t="shared" ref="AD29:AD43" si="9">AC29=P29</f>
        <v>1</v>
      </c>
      <c r="AE29" s="89"/>
    </row>
    <row r="30" spans="1:31" ht="12.75" customHeight="1" x14ac:dyDescent="0.2">
      <c r="B30" s="281" t="s">
        <v>929</v>
      </c>
      <c r="C30" s="387">
        <f>+C31+C32</f>
        <v>4212.13</v>
      </c>
      <c r="D30" s="388">
        <f t="shared" ref="D30:D42" si="10">+C30-E30</f>
        <v>0</v>
      </c>
      <c r="E30" s="389">
        <f>U30</f>
        <v>4212.13</v>
      </c>
      <c r="F30" s="387">
        <f>+F31+F32</f>
        <v>94070.55</v>
      </c>
      <c r="G30" s="388">
        <f t="shared" ref="G30:G33" si="11">+F30-I30</f>
        <v>0</v>
      </c>
      <c r="H30" s="390">
        <f>IFERROR(ROUND((G30/ABS(I30))*100,0),0)</f>
        <v>0</v>
      </c>
      <c r="I30" s="389">
        <f>ROUND(SUMIF($Q$5:$AB$5,"&lt;="&amp;$B$3,Q30:AB30),2)</f>
        <v>94070.55</v>
      </c>
      <c r="J30" s="282">
        <v>118000</v>
      </c>
      <c r="K30" s="223">
        <f>+F30-L30</f>
        <v>2124.5500000000029</v>
      </c>
      <c r="L30" s="275">
        <v>91946</v>
      </c>
      <c r="M30" s="244"/>
      <c r="N30" s="266"/>
      <c r="O30" s="310" t="s">
        <v>929</v>
      </c>
      <c r="P30" s="298">
        <v>118000</v>
      </c>
      <c r="Q30" s="247"/>
      <c r="R30" s="247">
        <f>SUM(R31:R32)</f>
        <v>73267.509999999995</v>
      </c>
      <c r="S30" s="247">
        <f t="shared" ref="S30:AB30" si="12">SUM(S31:S32)</f>
        <v>15425.71</v>
      </c>
      <c r="T30" s="247">
        <f t="shared" si="12"/>
        <v>1165.2</v>
      </c>
      <c r="U30" s="247">
        <f t="shared" si="12"/>
        <v>4212.13</v>
      </c>
      <c r="V30" s="247">
        <f t="shared" si="12"/>
        <v>3418.5</v>
      </c>
      <c r="W30" s="247">
        <f t="shared" si="12"/>
        <v>3418.5</v>
      </c>
      <c r="X30" s="247">
        <f t="shared" si="12"/>
        <v>3418.5</v>
      </c>
      <c r="Y30" s="247">
        <f t="shared" si="12"/>
        <v>3418.5</v>
      </c>
      <c r="Z30" s="247">
        <f t="shared" si="12"/>
        <v>3418.4900000000002</v>
      </c>
      <c r="AA30" s="247">
        <f t="shared" si="12"/>
        <v>3418.48</v>
      </c>
      <c r="AB30" s="247">
        <f t="shared" si="12"/>
        <v>3418.48</v>
      </c>
      <c r="AC30" s="247">
        <f t="shared" si="8"/>
        <v>118000</v>
      </c>
      <c r="AD30" s="292" t="b">
        <f>AC30=P30</f>
        <v>1</v>
      </c>
      <c r="AE30" s="89"/>
    </row>
    <row r="31" spans="1:31" ht="12.75" customHeight="1" x14ac:dyDescent="0.2">
      <c r="B31" s="283" t="s">
        <v>957</v>
      </c>
      <c r="C31" s="387">
        <f>-'TB (2) - May'!D33</f>
        <v>4212.13</v>
      </c>
      <c r="D31" s="388">
        <f t="shared" si="10"/>
        <v>0</v>
      </c>
      <c r="E31" s="389">
        <f>U31</f>
        <v>4212.13</v>
      </c>
      <c r="F31" s="387">
        <f>-TB!D33</f>
        <v>92452.67</v>
      </c>
      <c r="G31" s="388">
        <f t="shared" si="11"/>
        <v>0</v>
      </c>
      <c r="H31" s="390">
        <f t="shared" ref="H31:H80" si="13">IFERROR(ROUND((G31/ABS(I31))*100,0),0)</f>
        <v>0</v>
      </c>
      <c r="I31" s="389">
        <f>ROUND(SUMIF($Q$5:$AB$5,"&lt;="&amp;$B$3,Q31:AB31),2)</f>
        <v>92452.67</v>
      </c>
      <c r="J31" s="282">
        <v>108000</v>
      </c>
      <c r="K31" s="237">
        <f>+F31-L31</f>
        <v>11540.190000000002</v>
      </c>
      <c r="L31" s="276">
        <v>80912.479999999996</v>
      </c>
      <c r="M31" s="244"/>
      <c r="N31" s="267"/>
      <c r="O31" s="311" t="s">
        <v>957</v>
      </c>
      <c r="P31" s="299">
        <v>108000</v>
      </c>
      <c r="Q31" s="249">
        <f t="shared" ref="Q31" si="14">Q30*$N31</f>
        <v>0</v>
      </c>
      <c r="R31" s="249">
        <v>73267.509999999995</v>
      </c>
      <c r="S31" s="249">
        <v>13807.83</v>
      </c>
      <c r="T31" s="249">
        <v>1165.2</v>
      </c>
      <c r="U31" s="249">
        <v>4212.13</v>
      </c>
      <c r="V31" s="249">
        <v>2221.0500000000002</v>
      </c>
      <c r="W31" s="249">
        <v>2221.0500000000002</v>
      </c>
      <c r="X31" s="249">
        <v>2221.0500000000002</v>
      </c>
      <c r="Y31" s="249">
        <v>2221.0500000000002</v>
      </c>
      <c r="Z31" s="249">
        <v>2221.0500000000002</v>
      </c>
      <c r="AA31" s="249">
        <v>2221.04</v>
      </c>
      <c r="AB31" s="249">
        <v>2221.04</v>
      </c>
      <c r="AC31" s="247">
        <f t="shared" si="8"/>
        <v>108000</v>
      </c>
      <c r="AD31" s="292" t="b">
        <f t="shared" si="9"/>
        <v>1</v>
      </c>
      <c r="AE31" s="89"/>
    </row>
    <row r="32" spans="1:31" ht="12.75" customHeight="1" x14ac:dyDescent="0.2">
      <c r="B32" s="283" t="s">
        <v>958</v>
      </c>
      <c r="C32" s="387">
        <f>'TB (2) - May'!D35</f>
        <v>0</v>
      </c>
      <c r="D32" s="388">
        <f t="shared" si="10"/>
        <v>0</v>
      </c>
      <c r="E32" s="389">
        <f t="shared" ref="E32:E37" si="15">Q32</f>
        <v>0</v>
      </c>
      <c r="F32" s="387">
        <f>-TB!D35</f>
        <v>1617.88</v>
      </c>
      <c r="G32" s="388">
        <f t="shared" si="11"/>
        <v>0</v>
      </c>
      <c r="H32" s="390">
        <f t="shared" si="13"/>
        <v>0</v>
      </c>
      <c r="I32" s="389">
        <f>ROUND(SUMIF($Q$5:$AB$5,"&lt;="&amp;$B$3,Q32:AB32),2)</f>
        <v>1617.88</v>
      </c>
      <c r="J32" s="282">
        <v>10000</v>
      </c>
      <c r="K32" s="237">
        <f>+F32-L32</f>
        <v>-9415.64</v>
      </c>
      <c r="L32" s="276">
        <v>11033.52</v>
      </c>
      <c r="M32" s="244"/>
      <c r="N32" s="267"/>
      <c r="O32" s="311" t="s">
        <v>958</v>
      </c>
      <c r="P32" s="299">
        <v>10000</v>
      </c>
      <c r="Q32" s="249">
        <f>Q$30*$N32</f>
        <v>0</v>
      </c>
      <c r="R32" s="249"/>
      <c r="S32" s="249">
        <v>1617.88</v>
      </c>
      <c r="T32" s="249"/>
      <c r="U32" s="249"/>
      <c r="V32" s="249">
        <v>1197.45</v>
      </c>
      <c r="W32" s="249">
        <v>1197.45</v>
      </c>
      <c r="X32" s="249">
        <v>1197.45</v>
      </c>
      <c r="Y32" s="249">
        <v>1197.45</v>
      </c>
      <c r="Z32" s="249">
        <v>1197.44</v>
      </c>
      <c r="AA32" s="249">
        <v>1197.44</v>
      </c>
      <c r="AB32" s="249">
        <v>1197.44</v>
      </c>
      <c r="AC32" s="247">
        <f t="shared" si="8"/>
        <v>10000</v>
      </c>
      <c r="AD32" s="292" t="b">
        <f t="shared" si="9"/>
        <v>1</v>
      </c>
      <c r="AE32" s="89"/>
    </row>
    <row r="33" spans="1:31" ht="12.75" customHeight="1" x14ac:dyDescent="0.2">
      <c r="B33" s="284" t="s">
        <v>3</v>
      </c>
      <c r="C33" s="387">
        <f>-'TB (2) - May'!D40-'TB (2) - May'!D44</f>
        <v>320</v>
      </c>
      <c r="D33" s="388">
        <f t="shared" si="10"/>
        <v>-180</v>
      </c>
      <c r="E33" s="389">
        <f>Q33</f>
        <v>500</v>
      </c>
      <c r="F33" s="387">
        <f>-TB!D40-TB!D44</f>
        <v>1050.8</v>
      </c>
      <c r="G33" s="388">
        <f t="shared" si="11"/>
        <v>-1449.2</v>
      </c>
      <c r="H33" s="390">
        <f t="shared" si="13"/>
        <v>-58</v>
      </c>
      <c r="I33" s="389">
        <f>ROUND(SUMIF($Q$5:$AB$5,"&lt;="&amp;$B$3,Q33:AB33),2)</f>
        <v>2500</v>
      </c>
      <c r="J33" s="282">
        <v>6000</v>
      </c>
      <c r="K33" s="223">
        <f>+F33-L33</f>
        <v>-7449.2</v>
      </c>
      <c r="L33" s="275">
        <v>8500</v>
      </c>
      <c r="M33" s="244"/>
      <c r="N33" s="266"/>
      <c r="O33" s="312" t="s">
        <v>3</v>
      </c>
      <c r="P33" s="298">
        <v>6000</v>
      </c>
      <c r="Q33" s="247">
        <f t="shared" ref="Q33:AB33" si="16">$P33/12</f>
        <v>500</v>
      </c>
      <c r="R33" s="247">
        <f t="shared" si="16"/>
        <v>500</v>
      </c>
      <c r="S33" s="247">
        <f t="shared" si="16"/>
        <v>500</v>
      </c>
      <c r="T33" s="247">
        <f t="shared" si="16"/>
        <v>500</v>
      </c>
      <c r="U33" s="247">
        <f t="shared" si="16"/>
        <v>500</v>
      </c>
      <c r="V33" s="247">
        <f t="shared" si="16"/>
        <v>500</v>
      </c>
      <c r="W33" s="247">
        <f t="shared" si="16"/>
        <v>500</v>
      </c>
      <c r="X33" s="247">
        <f t="shared" si="16"/>
        <v>500</v>
      </c>
      <c r="Y33" s="247">
        <f t="shared" si="16"/>
        <v>500</v>
      </c>
      <c r="Z33" s="247">
        <f t="shared" si="16"/>
        <v>500</v>
      </c>
      <c r="AA33" s="247">
        <f t="shared" si="16"/>
        <v>500</v>
      </c>
      <c r="AB33" s="247">
        <f t="shared" si="16"/>
        <v>500</v>
      </c>
      <c r="AC33" s="247">
        <f t="shared" si="8"/>
        <v>6000</v>
      </c>
      <c r="AD33" s="292" t="b">
        <f t="shared" si="9"/>
        <v>1</v>
      </c>
      <c r="AE33" s="89"/>
    </row>
    <row r="34" spans="1:31" ht="12.75" customHeight="1" x14ac:dyDescent="0.2">
      <c r="B34" s="279" t="s">
        <v>1038</v>
      </c>
      <c r="C34" s="383">
        <f>SUM(C29:C33)-C30</f>
        <v>4532.13</v>
      </c>
      <c r="D34" s="384">
        <f t="shared" si="10"/>
        <v>-4392.13</v>
      </c>
      <c r="E34" s="385">
        <f>SUM(E29:E33)</f>
        <v>8924.26</v>
      </c>
      <c r="F34" s="383">
        <f>SUM(F29:F33)-F30</f>
        <v>95133.349999999991</v>
      </c>
      <c r="G34" s="384">
        <f>+F34-I34</f>
        <v>-1437.2000000000116</v>
      </c>
      <c r="H34" s="386"/>
      <c r="I34" s="385">
        <f>SUM(I29:I33)-I30</f>
        <v>96570.55</v>
      </c>
      <c r="J34" s="280">
        <f>SUM(J29:J33)-J30</f>
        <v>124000</v>
      </c>
      <c r="K34" s="223"/>
      <c r="L34" s="275"/>
      <c r="M34" s="244"/>
      <c r="N34" s="365"/>
      <c r="O34" s="364" t="s">
        <v>1038</v>
      </c>
      <c r="P34" s="300">
        <f>SUM(P29:P33)-P30</f>
        <v>124000</v>
      </c>
      <c r="Q34" s="251">
        <f>SUM(Q29:Q33)-Q30</f>
        <v>500</v>
      </c>
      <c r="R34" s="251">
        <f t="shared" ref="R34:AB34" si="17">SUM(R29:R33)-R30</f>
        <v>73767.509999999995</v>
      </c>
      <c r="S34" s="251">
        <f t="shared" si="17"/>
        <v>15925.710000000003</v>
      </c>
      <c r="T34" s="251">
        <f t="shared" si="17"/>
        <v>1665.2</v>
      </c>
      <c r="U34" s="251">
        <f t="shared" si="17"/>
        <v>4712.13</v>
      </c>
      <c r="V34" s="251">
        <f t="shared" si="17"/>
        <v>3918.5</v>
      </c>
      <c r="W34" s="251">
        <f t="shared" si="17"/>
        <v>3918.5</v>
      </c>
      <c r="X34" s="251">
        <f t="shared" si="17"/>
        <v>3918.5</v>
      </c>
      <c r="Y34" s="251">
        <f t="shared" si="17"/>
        <v>3918.5</v>
      </c>
      <c r="Z34" s="251">
        <f t="shared" si="17"/>
        <v>3918.4900000000011</v>
      </c>
      <c r="AA34" s="251">
        <f t="shared" si="17"/>
        <v>3918.4800000000009</v>
      </c>
      <c r="AB34" s="251">
        <f t="shared" si="17"/>
        <v>3918.4800000000009</v>
      </c>
      <c r="AC34" s="251">
        <f>SUM(AC29:AC33)-AC30</f>
        <v>124000</v>
      </c>
      <c r="AD34" s="291" t="b">
        <f t="shared" si="9"/>
        <v>1</v>
      </c>
      <c r="AE34" s="89"/>
    </row>
    <row r="35" spans="1:31" ht="12.75" customHeight="1" x14ac:dyDescent="0.2">
      <c r="B35" s="285"/>
      <c r="C35" s="387"/>
      <c r="D35" s="388"/>
      <c r="E35" s="389"/>
      <c r="F35" s="387"/>
      <c r="G35" s="388"/>
      <c r="H35" s="390"/>
      <c r="I35" s="389"/>
      <c r="J35" s="282"/>
      <c r="K35" s="223"/>
      <c r="L35" s="275"/>
      <c r="M35" s="244"/>
      <c r="N35" s="266"/>
      <c r="O35" s="312"/>
      <c r="P35" s="298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92" t="b">
        <f t="shared" si="9"/>
        <v>1</v>
      </c>
      <c r="AE35" s="89"/>
    </row>
    <row r="36" spans="1:31" ht="12.75" customHeight="1" x14ac:dyDescent="0.2">
      <c r="B36" s="279" t="s">
        <v>1036</v>
      </c>
      <c r="C36" s="383"/>
      <c r="D36" s="384"/>
      <c r="E36" s="385"/>
      <c r="F36" s="383"/>
      <c r="G36" s="384"/>
      <c r="H36" s="386"/>
      <c r="I36" s="385"/>
      <c r="J36" s="280"/>
      <c r="K36" s="223"/>
      <c r="L36" s="275"/>
      <c r="M36" s="244"/>
      <c r="N36" s="266"/>
      <c r="O36" s="313" t="s">
        <v>1036</v>
      </c>
      <c r="P36" s="300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91" t="b">
        <f t="shared" si="9"/>
        <v>1</v>
      </c>
      <c r="AE36" s="89"/>
    </row>
    <row r="37" spans="1:31" ht="12.75" customHeight="1" x14ac:dyDescent="0.2">
      <c r="B37" s="284" t="s">
        <v>984</v>
      </c>
      <c r="C37" s="387">
        <f>-'TB (2) - May'!D50-'TB (2) - May'!D51-'TB (2) - May'!D52</f>
        <v>0</v>
      </c>
      <c r="D37" s="388">
        <f t="shared" si="10"/>
        <v>0</v>
      </c>
      <c r="E37" s="389">
        <f t="shared" si="15"/>
        <v>0</v>
      </c>
      <c r="F37" s="387">
        <f>-TB!D50-TB!D51-TB!D52</f>
        <v>525</v>
      </c>
      <c r="G37" s="388">
        <f t="shared" ref="G37" si="18">+F37-I37</f>
        <v>525</v>
      </c>
      <c r="H37" s="390">
        <f t="shared" si="13"/>
        <v>0</v>
      </c>
      <c r="I37" s="389">
        <f>ROUND(SUMIF($Q$5:$AB$5,"&lt;="&amp;$B$3,Q37:AB37),2)</f>
        <v>0</v>
      </c>
      <c r="J37" s="282">
        <v>0</v>
      </c>
      <c r="K37" s="223">
        <f>+F37-L37</f>
        <v>-70308</v>
      </c>
      <c r="L37" s="275">
        <v>70833</v>
      </c>
      <c r="M37" s="244"/>
      <c r="N37" s="266"/>
      <c r="O37" s="312" t="s">
        <v>984</v>
      </c>
      <c r="P37" s="298">
        <v>0</v>
      </c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>
        <f t="shared" ref="AC37" si="19">SUM(Q37:AB37)</f>
        <v>0</v>
      </c>
      <c r="AD37" s="292" t="b">
        <f t="shared" si="9"/>
        <v>1</v>
      </c>
      <c r="AE37" s="89"/>
    </row>
    <row r="38" spans="1:31" ht="12.75" customHeight="1" x14ac:dyDescent="0.2">
      <c r="B38" s="279" t="s">
        <v>1039</v>
      </c>
      <c r="C38" s="383">
        <f>SUM(C37)</f>
        <v>0</v>
      </c>
      <c r="D38" s="384">
        <f>+C38-E38</f>
        <v>0</v>
      </c>
      <c r="E38" s="385">
        <f>SUM(E37)</f>
        <v>0</v>
      </c>
      <c r="F38" s="383">
        <f>SUM(F37)</f>
        <v>525</v>
      </c>
      <c r="G38" s="384">
        <f>+F38-I38</f>
        <v>525</v>
      </c>
      <c r="H38" s="386"/>
      <c r="I38" s="385">
        <f>SUM(I37)</f>
        <v>0</v>
      </c>
      <c r="J38" s="280">
        <f>SUM(J37)</f>
        <v>0</v>
      </c>
      <c r="K38" s="223"/>
      <c r="L38" s="275"/>
      <c r="M38" s="244"/>
      <c r="N38" s="266"/>
      <c r="O38" s="313" t="s">
        <v>1039</v>
      </c>
      <c r="P38" s="300">
        <f>SUM(P37)</f>
        <v>0</v>
      </c>
      <c r="Q38" s="250">
        <f t="shared" ref="Q38:AC38" si="20">SUM(Q37)</f>
        <v>0</v>
      </c>
      <c r="R38" s="250">
        <f t="shared" si="20"/>
        <v>0</v>
      </c>
      <c r="S38" s="250">
        <f t="shared" si="20"/>
        <v>0</v>
      </c>
      <c r="T38" s="250">
        <f t="shared" si="20"/>
        <v>0</v>
      </c>
      <c r="U38" s="250">
        <f t="shared" si="20"/>
        <v>0</v>
      </c>
      <c r="V38" s="250">
        <f t="shared" si="20"/>
        <v>0</v>
      </c>
      <c r="W38" s="250">
        <f t="shared" si="20"/>
        <v>0</v>
      </c>
      <c r="X38" s="250">
        <f t="shared" si="20"/>
        <v>0</v>
      </c>
      <c r="Y38" s="250">
        <f t="shared" si="20"/>
        <v>0</v>
      </c>
      <c r="Z38" s="250">
        <f t="shared" si="20"/>
        <v>0</v>
      </c>
      <c r="AA38" s="250">
        <f t="shared" si="20"/>
        <v>0</v>
      </c>
      <c r="AB38" s="250">
        <f t="shared" si="20"/>
        <v>0</v>
      </c>
      <c r="AC38" s="250">
        <f t="shared" si="20"/>
        <v>0</v>
      </c>
      <c r="AD38" s="291" t="b">
        <f t="shared" si="9"/>
        <v>1</v>
      </c>
      <c r="AE38" s="89"/>
    </row>
    <row r="39" spans="1:31" ht="12.75" customHeight="1" x14ac:dyDescent="0.2">
      <c r="B39" s="285"/>
      <c r="C39" s="387"/>
      <c r="D39" s="388"/>
      <c r="E39" s="389"/>
      <c r="F39" s="387"/>
      <c r="G39" s="388"/>
      <c r="H39" s="390"/>
      <c r="I39" s="389"/>
      <c r="J39" s="282"/>
      <c r="K39" s="223"/>
      <c r="L39" s="275"/>
      <c r="M39" s="244"/>
      <c r="N39" s="266"/>
      <c r="O39" s="312"/>
      <c r="P39" s="298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92" t="b">
        <f t="shared" si="9"/>
        <v>1</v>
      </c>
      <c r="AE39" s="89"/>
    </row>
    <row r="40" spans="1:31" ht="12.75" customHeight="1" x14ac:dyDescent="0.2">
      <c r="B40" s="279" t="s">
        <v>1037</v>
      </c>
      <c r="C40" s="383"/>
      <c r="D40" s="384"/>
      <c r="E40" s="385"/>
      <c r="F40" s="383"/>
      <c r="G40" s="384"/>
      <c r="H40" s="386"/>
      <c r="I40" s="385"/>
      <c r="J40" s="280"/>
      <c r="K40" s="223"/>
      <c r="L40" s="275"/>
      <c r="M40" s="244"/>
      <c r="N40" s="266"/>
      <c r="O40" s="313" t="s">
        <v>1037</v>
      </c>
      <c r="P40" s="300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91" t="b">
        <f t="shared" si="9"/>
        <v>1</v>
      </c>
      <c r="AE40" s="89"/>
    </row>
    <row r="41" spans="1:31" ht="12.75" customHeight="1" x14ac:dyDescent="0.2">
      <c r="B41" s="285" t="s">
        <v>998</v>
      </c>
      <c r="C41" s="387">
        <f>-'TB (2) - May'!D38-'TB (2) - May'!D39</f>
        <v>-105.22</v>
      </c>
      <c r="D41" s="388">
        <f t="shared" si="10"/>
        <v>-105.22</v>
      </c>
      <c r="E41" s="389">
        <f>U41</f>
        <v>0</v>
      </c>
      <c r="F41" s="387">
        <f>-TB!D38-TB!D39</f>
        <v>1489.58</v>
      </c>
      <c r="G41" s="388">
        <f>+F41-I41</f>
        <v>-10.420000000000073</v>
      </c>
      <c r="H41" s="390">
        <f t="shared" si="13"/>
        <v>-1</v>
      </c>
      <c r="I41" s="389">
        <f>ROUND(SUMIF($Q$5:$AB$5,"&lt;="&amp;$B$3,Q41:AB41),2)</f>
        <v>1500</v>
      </c>
      <c r="J41" s="282">
        <v>6000</v>
      </c>
      <c r="K41" s="223">
        <f>+F41-L41</f>
        <v>-4608.1400000000003</v>
      </c>
      <c r="L41" s="275">
        <v>6097.72</v>
      </c>
      <c r="M41" s="244"/>
      <c r="N41" s="266"/>
      <c r="O41" s="312" t="s">
        <v>998</v>
      </c>
      <c r="P41" s="298">
        <v>6000</v>
      </c>
      <c r="Q41" s="247"/>
      <c r="R41" s="247"/>
      <c r="T41" s="247">
        <f>$P41/4</f>
        <v>1500</v>
      </c>
      <c r="U41" s="247"/>
      <c r="V41" s="247"/>
      <c r="W41" s="247">
        <f>$P41/4</f>
        <v>1500</v>
      </c>
      <c r="X41" s="247"/>
      <c r="Y41" s="247"/>
      <c r="Z41" s="247">
        <f>$P41/4</f>
        <v>1500</v>
      </c>
      <c r="AA41" s="247"/>
      <c r="AB41" s="247">
        <f>$P41/4</f>
        <v>1500</v>
      </c>
      <c r="AC41" s="247">
        <f t="shared" si="8"/>
        <v>6000</v>
      </c>
      <c r="AD41" s="292" t="b">
        <f t="shared" si="9"/>
        <v>1</v>
      </c>
      <c r="AE41" s="89"/>
    </row>
    <row r="42" spans="1:31" ht="12.75" customHeight="1" thickBot="1" x14ac:dyDescent="0.25">
      <c r="B42" s="279" t="s">
        <v>1040</v>
      </c>
      <c r="C42" s="391">
        <f>SUM(C41)</f>
        <v>-105.22</v>
      </c>
      <c r="D42" s="392">
        <f t="shared" si="10"/>
        <v>-105.22</v>
      </c>
      <c r="E42" s="393">
        <f>SUM(E41)</f>
        <v>0</v>
      </c>
      <c r="F42" s="391">
        <f>SUM(F41)</f>
        <v>1489.58</v>
      </c>
      <c r="G42" s="392">
        <f>+F42-I42</f>
        <v>-10.420000000000073</v>
      </c>
      <c r="H42" s="394"/>
      <c r="I42" s="393">
        <f>SUM(I41)</f>
        <v>1500</v>
      </c>
      <c r="J42" s="326">
        <f>SUM(J41)</f>
        <v>6000</v>
      </c>
      <c r="K42" s="223"/>
      <c r="L42" s="275"/>
      <c r="M42" s="244"/>
      <c r="N42" s="266"/>
      <c r="O42" s="313" t="s">
        <v>1040</v>
      </c>
      <c r="P42" s="331">
        <f>SUM(P41)</f>
        <v>6000</v>
      </c>
      <c r="Q42" s="332">
        <f t="shared" ref="Q42:AC42" si="21">SUM(Q41)</f>
        <v>0</v>
      </c>
      <c r="R42" s="332">
        <f t="shared" si="21"/>
        <v>0</v>
      </c>
      <c r="S42" s="332">
        <f>SUM(S41)</f>
        <v>0</v>
      </c>
      <c r="T42" s="332">
        <f>SUM(T41)</f>
        <v>1500</v>
      </c>
      <c r="U42" s="332">
        <f t="shared" si="21"/>
        <v>0</v>
      </c>
      <c r="V42" s="332">
        <f t="shared" si="21"/>
        <v>0</v>
      </c>
      <c r="W42" s="332">
        <f t="shared" si="21"/>
        <v>1500</v>
      </c>
      <c r="X42" s="332">
        <f t="shared" si="21"/>
        <v>0</v>
      </c>
      <c r="Y42" s="332">
        <f t="shared" si="21"/>
        <v>0</v>
      </c>
      <c r="Z42" s="332">
        <f t="shared" si="21"/>
        <v>1500</v>
      </c>
      <c r="AA42" s="332">
        <f t="shared" si="21"/>
        <v>0</v>
      </c>
      <c r="AB42" s="332">
        <f t="shared" si="21"/>
        <v>1500</v>
      </c>
      <c r="AC42" s="332">
        <f t="shared" si="21"/>
        <v>6000</v>
      </c>
      <c r="AD42" s="333" t="b">
        <f t="shared" si="9"/>
        <v>1</v>
      </c>
      <c r="AE42" s="89"/>
    </row>
    <row r="43" spans="1:31" s="234" customFormat="1" ht="21.75" customHeight="1" thickBot="1" x14ac:dyDescent="0.35">
      <c r="A43" s="246"/>
      <c r="B43" s="327" t="s">
        <v>142</v>
      </c>
      <c r="C43" s="411">
        <f>C34+C38+C42</f>
        <v>4426.91</v>
      </c>
      <c r="D43" s="411">
        <f>+C43-E43</f>
        <v>-4497.3500000000004</v>
      </c>
      <c r="E43" s="411">
        <f>E34+E38+E42</f>
        <v>8924.26</v>
      </c>
      <c r="F43" s="411">
        <f>F34+F38+F42</f>
        <v>97147.93</v>
      </c>
      <c r="G43" s="411">
        <f>+F43-I43</f>
        <v>-922.6200000000099</v>
      </c>
      <c r="H43" s="411">
        <f>H34+H8+H38+H42</f>
        <v>0</v>
      </c>
      <c r="I43" s="412">
        <f>I34+I38+I42</f>
        <v>98070.55</v>
      </c>
      <c r="J43" s="343">
        <f>J34+J8+J38+J42</f>
        <v>480000</v>
      </c>
      <c r="K43" s="232">
        <f>SUBTOTAL(9,K29:K41)-K30</f>
        <v>-80728.789999999994</v>
      </c>
      <c r="L43" s="278">
        <f>SUBTOTAL(9,L29:L41)-L30</f>
        <v>177876.71999999997</v>
      </c>
      <c r="M43" s="246"/>
      <c r="N43" s="265"/>
      <c r="O43" s="327" t="s">
        <v>142</v>
      </c>
      <c r="P43" s="321">
        <f>P34+P38+P42</f>
        <v>130000</v>
      </c>
      <c r="Q43" s="321">
        <f t="shared" ref="Q43:AC43" si="22">Q34+Q38+Q42</f>
        <v>500</v>
      </c>
      <c r="R43" s="321">
        <f t="shared" si="22"/>
        <v>73767.509999999995</v>
      </c>
      <c r="S43" s="321">
        <f t="shared" si="22"/>
        <v>15925.710000000003</v>
      </c>
      <c r="T43" s="321">
        <f t="shared" si="22"/>
        <v>3165.2</v>
      </c>
      <c r="U43" s="321">
        <f t="shared" si="22"/>
        <v>4712.13</v>
      </c>
      <c r="V43" s="321">
        <f t="shared" si="22"/>
        <v>3918.5</v>
      </c>
      <c r="W43" s="321">
        <f t="shared" si="22"/>
        <v>5418.5</v>
      </c>
      <c r="X43" s="321">
        <f t="shared" si="22"/>
        <v>3918.5</v>
      </c>
      <c r="Y43" s="321">
        <f t="shared" si="22"/>
        <v>3918.5</v>
      </c>
      <c r="Z43" s="321">
        <f t="shared" si="22"/>
        <v>5418.4900000000016</v>
      </c>
      <c r="AA43" s="321">
        <f t="shared" si="22"/>
        <v>3918.4800000000009</v>
      </c>
      <c r="AB43" s="321">
        <f t="shared" si="22"/>
        <v>5418.4800000000014</v>
      </c>
      <c r="AC43" s="321">
        <f t="shared" si="22"/>
        <v>130000</v>
      </c>
      <c r="AD43" s="352" t="b">
        <f t="shared" si="9"/>
        <v>1</v>
      </c>
      <c r="AE43" s="233"/>
    </row>
    <row r="44" spans="1:31" ht="12.75" customHeight="1" thickBot="1" x14ac:dyDescent="0.25">
      <c r="B44" s="90"/>
      <c r="C44" s="413"/>
      <c r="D44" s="414"/>
      <c r="E44" s="415"/>
      <c r="F44" s="413"/>
      <c r="G44" s="414"/>
      <c r="H44" s="414"/>
      <c r="I44" s="415"/>
      <c r="J44" s="325"/>
      <c r="K44" s="221"/>
      <c r="L44" s="222"/>
      <c r="M44" s="284"/>
      <c r="N44" s="266"/>
      <c r="O44" s="314"/>
      <c r="P44" s="30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1"/>
      <c r="AD44" s="368"/>
      <c r="AE44" s="89"/>
    </row>
    <row r="45" spans="1:31" s="234" customFormat="1" ht="21.75" customHeight="1" thickBot="1" x14ac:dyDescent="0.35">
      <c r="A45" s="246"/>
      <c r="B45" s="327" t="s">
        <v>764</v>
      </c>
      <c r="C45" s="411"/>
      <c r="D45" s="411"/>
      <c r="E45" s="411"/>
      <c r="F45" s="411"/>
      <c r="G45" s="411"/>
      <c r="H45" s="411"/>
      <c r="I45" s="412"/>
      <c r="J45" s="366"/>
      <c r="K45" s="238"/>
      <c r="L45" s="273"/>
      <c r="M45" s="246"/>
      <c r="N45" s="265"/>
      <c r="O45" s="327" t="s">
        <v>764</v>
      </c>
      <c r="P45" s="321"/>
      <c r="Q45" s="350"/>
      <c r="R45" s="350"/>
      <c r="S45" s="350"/>
      <c r="T45" s="350"/>
      <c r="U45" s="350"/>
      <c r="V45" s="350"/>
      <c r="W45" s="350"/>
      <c r="X45" s="351"/>
      <c r="Y45" s="350"/>
      <c r="Z45" s="350"/>
      <c r="AA45" s="350"/>
      <c r="AB45" s="350"/>
      <c r="AC45" s="350"/>
      <c r="AD45" s="352"/>
      <c r="AE45" s="233"/>
    </row>
    <row r="46" spans="1:31" ht="12.75" customHeight="1" x14ac:dyDescent="0.25">
      <c r="B46" s="286" t="s">
        <v>1041</v>
      </c>
      <c r="C46" s="416"/>
      <c r="D46" s="398"/>
      <c r="E46" s="417"/>
      <c r="F46" s="416"/>
      <c r="G46" s="398"/>
      <c r="H46" s="398"/>
      <c r="I46" s="417"/>
      <c r="J46" s="287"/>
      <c r="K46" s="221"/>
      <c r="L46" s="222"/>
      <c r="M46" s="244"/>
      <c r="N46" s="266"/>
      <c r="O46" s="309" t="s">
        <v>1041</v>
      </c>
      <c r="P46" s="358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4"/>
      <c r="AD46" s="349"/>
      <c r="AE46" s="89"/>
    </row>
    <row r="47" spans="1:31" ht="12.75" customHeight="1" x14ac:dyDescent="0.2">
      <c r="B47" s="285" t="s">
        <v>1042</v>
      </c>
      <c r="C47" s="387"/>
      <c r="D47" s="388"/>
      <c r="E47" s="389"/>
      <c r="F47" s="387"/>
      <c r="G47" s="388"/>
      <c r="H47" s="403"/>
      <c r="I47" s="389"/>
      <c r="J47" s="282"/>
      <c r="K47" s="221"/>
      <c r="L47" s="222"/>
      <c r="M47" s="244"/>
      <c r="N47" s="266"/>
      <c r="O47" s="315" t="s">
        <v>1042</v>
      </c>
      <c r="P47" s="303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47"/>
      <c r="AD47" s="292"/>
      <c r="AE47" s="89"/>
    </row>
    <row r="48" spans="1:31" ht="12.75" customHeight="1" x14ac:dyDescent="0.2">
      <c r="B48" s="281" t="s">
        <v>941</v>
      </c>
      <c r="C48" s="387">
        <f>-'TB (2) - May'!D54</f>
        <v>-7290</v>
      </c>
      <c r="D48" s="388">
        <f>+C48-E48</f>
        <v>-1873.333333333333</v>
      </c>
      <c r="E48" s="389">
        <f>T48</f>
        <v>-5416.666666666667</v>
      </c>
      <c r="F48" s="387">
        <f>-TB!D54</f>
        <v>-26055</v>
      </c>
      <c r="G48" s="388">
        <f t="shared" ref="G48:G80" si="23">+F48-I48</f>
        <v>1028.3300000000017</v>
      </c>
      <c r="H48" s="403">
        <f t="shared" si="13"/>
        <v>4</v>
      </c>
      <c r="I48" s="389">
        <f>ROUND(SUMIF($Q$5:$AB$5,"&lt;="&amp;$B$3,Q48:AB48),2)</f>
        <v>-27083.33</v>
      </c>
      <c r="J48" s="282">
        <v>-65000</v>
      </c>
      <c r="K48" s="223">
        <f>+F48-L48</f>
        <v>51705</v>
      </c>
      <c r="L48" s="277">
        <v>-77760</v>
      </c>
      <c r="M48" s="244"/>
      <c r="N48" s="266"/>
      <c r="O48" s="310" t="s">
        <v>941</v>
      </c>
      <c r="P48" s="304">
        <v>-65000</v>
      </c>
      <c r="Q48" s="255">
        <f t="shared" ref="Q48:AB53" si="24">$P48/12</f>
        <v>-5416.666666666667</v>
      </c>
      <c r="R48" s="255">
        <f t="shared" si="24"/>
        <v>-5416.666666666667</v>
      </c>
      <c r="S48" s="255">
        <f t="shared" si="24"/>
        <v>-5416.666666666667</v>
      </c>
      <c r="T48" s="255">
        <f t="shared" si="24"/>
        <v>-5416.666666666667</v>
      </c>
      <c r="U48" s="255">
        <f t="shared" si="24"/>
        <v>-5416.666666666667</v>
      </c>
      <c r="V48" s="255">
        <f t="shared" si="24"/>
        <v>-5416.666666666667</v>
      </c>
      <c r="W48" s="255">
        <f t="shared" si="24"/>
        <v>-5416.666666666667</v>
      </c>
      <c r="X48" s="255">
        <f t="shared" si="24"/>
        <v>-5416.666666666667</v>
      </c>
      <c r="Y48" s="255">
        <f t="shared" si="24"/>
        <v>-5416.666666666667</v>
      </c>
      <c r="Z48" s="255">
        <f t="shared" si="24"/>
        <v>-5416.666666666667</v>
      </c>
      <c r="AA48" s="255">
        <f t="shared" si="24"/>
        <v>-5416.666666666667</v>
      </c>
      <c r="AB48" s="255">
        <f t="shared" si="24"/>
        <v>-5416.666666666667</v>
      </c>
      <c r="AC48" s="247">
        <f t="shared" ref="AC48:AC53" si="25">SUM(Q48:AB48)</f>
        <v>-64999.999999999993</v>
      </c>
      <c r="AD48" s="292" t="b">
        <f t="shared" ref="AD48:AD53" si="26">AC48=P48</f>
        <v>1</v>
      </c>
      <c r="AE48" s="89"/>
    </row>
    <row r="49" spans="2:31" ht="12.75" customHeight="1" x14ac:dyDescent="0.2">
      <c r="B49" s="284" t="s">
        <v>942</v>
      </c>
      <c r="C49" s="387">
        <f>-'TB (2) - May'!D59</f>
        <v>-1913.32</v>
      </c>
      <c r="D49" s="388">
        <f t="shared" ref="D49:D78" si="27">+C49-E49</f>
        <v>-663.31999999999994</v>
      </c>
      <c r="E49" s="389">
        <f t="shared" ref="E49:E78" si="28">T49</f>
        <v>-1250</v>
      </c>
      <c r="F49" s="387">
        <f>-TB!D59</f>
        <v>-4717.6099999999997</v>
      </c>
      <c r="G49" s="388">
        <f t="shared" si="23"/>
        <v>1532.3900000000003</v>
      </c>
      <c r="H49" s="403">
        <f t="shared" si="13"/>
        <v>25</v>
      </c>
      <c r="I49" s="389">
        <f>ROUND(SUMIF($Q$5:$AB$5,"&lt;="&amp;$B$3,Q49:AB49),2)</f>
        <v>-6250</v>
      </c>
      <c r="J49" s="282">
        <v>-15000</v>
      </c>
      <c r="K49" s="223">
        <f>+F49-L49</f>
        <v>11782.39</v>
      </c>
      <c r="L49" s="277">
        <v>-16500</v>
      </c>
      <c r="M49" s="244"/>
      <c r="N49" s="266"/>
      <c r="O49" s="312" t="s">
        <v>942</v>
      </c>
      <c r="P49" s="304">
        <v>-15000</v>
      </c>
      <c r="Q49" s="255">
        <f t="shared" si="24"/>
        <v>-1250</v>
      </c>
      <c r="R49" s="255">
        <f t="shared" si="24"/>
        <v>-1250</v>
      </c>
      <c r="S49" s="255">
        <f t="shared" si="24"/>
        <v>-1250</v>
      </c>
      <c r="T49" s="255">
        <f t="shared" si="24"/>
        <v>-1250</v>
      </c>
      <c r="U49" s="255">
        <f t="shared" si="24"/>
        <v>-1250</v>
      </c>
      <c r="V49" s="255">
        <f t="shared" si="24"/>
        <v>-1250</v>
      </c>
      <c r="W49" s="255">
        <f t="shared" si="24"/>
        <v>-1250</v>
      </c>
      <c r="X49" s="255">
        <f t="shared" si="24"/>
        <v>-1250</v>
      </c>
      <c r="Y49" s="255">
        <f t="shared" si="24"/>
        <v>-1250</v>
      </c>
      <c r="Z49" s="255">
        <f t="shared" si="24"/>
        <v>-1250</v>
      </c>
      <c r="AA49" s="255">
        <f t="shared" si="24"/>
        <v>-1250</v>
      </c>
      <c r="AB49" s="255">
        <f t="shared" si="24"/>
        <v>-1250</v>
      </c>
      <c r="AC49" s="247">
        <f t="shared" si="25"/>
        <v>-15000</v>
      </c>
      <c r="AD49" s="292" t="b">
        <f t="shared" si="26"/>
        <v>1</v>
      </c>
      <c r="AE49" s="89"/>
    </row>
    <row r="50" spans="2:31" ht="12.75" customHeight="1" x14ac:dyDescent="0.2">
      <c r="B50" s="284" t="s">
        <v>11</v>
      </c>
      <c r="C50" s="387">
        <f>-'TB (2) - May'!D60</f>
        <v>-441.06</v>
      </c>
      <c r="D50" s="388">
        <f t="shared" si="27"/>
        <v>-24.393333333333317</v>
      </c>
      <c r="E50" s="389">
        <f t="shared" si="28"/>
        <v>-416.66666666666669</v>
      </c>
      <c r="F50" s="387">
        <f>-TB!D60</f>
        <v>-1372.3700000000001</v>
      </c>
      <c r="G50" s="388">
        <f t="shared" si="23"/>
        <v>710.95999999999981</v>
      </c>
      <c r="H50" s="403">
        <f t="shared" si="13"/>
        <v>34</v>
      </c>
      <c r="I50" s="389">
        <f>ROUND(SUMIF($Q$5:$AB$5,"&lt;="&amp;$B$3,Q50:AB50),2)</f>
        <v>-2083.33</v>
      </c>
      <c r="J50" s="282">
        <v>-5000</v>
      </c>
      <c r="K50" s="223">
        <f>+F50-L50</f>
        <v>3627.63</v>
      </c>
      <c r="L50" s="277">
        <v>-5000</v>
      </c>
      <c r="M50" s="244"/>
      <c r="N50" s="266"/>
      <c r="O50" s="312" t="s">
        <v>11</v>
      </c>
      <c r="P50" s="304">
        <v>-5000</v>
      </c>
      <c r="Q50" s="255">
        <f t="shared" si="24"/>
        <v>-416.66666666666669</v>
      </c>
      <c r="R50" s="255">
        <f t="shared" si="24"/>
        <v>-416.66666666666669</v>
      </c>
      <c r="S50" s="255">
        <f t="shared" si="24"/>
        <v>-416.66666666666669</v>
      </c>
      <c r="T50" s="255">
        <f t="shared" si="24"/>
        <v>-416.66666666666669</v>
      </c>
      <c r="U50" s="255">
        <f t="shared" si="24"/>
        <v>-416.66666666666669</v>
      </c>
      <c r="V50" s="255">
        <f t="shared" si="24"/>
        <v>-416.66666666666669</v>
      </c>
      <c r="W50" s="255">
        <f t="shared" si="24"/>
        <v>-416.66666666666669</v>
      </c>
      <c r="X50" s="255">
        <f t="shared" si="24"/>
        <v>-416.66666666666669</v>
      </c>
      <c r="Y50" s="255">
        <f t="shared" si="24"/>
        <v>-416.66666666666669</v>
      </c>
      <c r="Z50" s="255">
        <f t="shared" si="24"/>
        <v>-416.66666666666669</v>
      </c>
      <c r="AA50" s="255">
        <f t="shared" si="24"/>
        <v>-416.66666666666669</v>
      </c>
      <c r="AB50" s="255">
        <f t="shared" si="24"/>
        <v>-416.66666666666669</v>
      </c>
      <c r="AC50" s="247">
        <f t="shared" si="25"/>
        <v>-5000</v>
      </c>
      <c r="AD50" s="292" t="b">
        <f t="shared" si="26"/>
        <v>1</v>
      </c>
      <c r="AE50" s="89"/>
    </row>
    <row r="51" spans="2:31" ht="12" customHeight="1" x14ac:dyDescent="0.2">
      <c r="B51" s="285"/>
      <c r="C51" s="387"/>
      <c r="D51" s="388"/>
      <c r="E51" s="389"/>
      <c r="F51" s="387"/>
      <c r="G51" s="388"/>
      <c r="H51" s="403"/>
      <c r="I51" s="389"/>
      <c r="J51" s="282"/>
      <c r="K51" s="223"/>
      <c r="L51" s="324"/>
      <c r="M51" s="244"/>
      <c r="N51" s="266"/>
      <c r="O51" s="312"/>
      <c r="P51" s="304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47"/>
      <c r="AD51" s="292"/>
      <c r="AE51" s="89"/>
    </row>
    <row r="52" spans="2:31" ht="12.75" customHeight="1" x14ac:dyDescent="0.2">
      <c r="B52" s="285" t="s">
        <v>1043</v>
      </c>
      <c r="C52" s="387"/>
      <c r="D52" s="388"/>
      <c r="E52" s="389"/>
      <c r="F52" s="387"/>
      <c r="G52" s="388"/>
      <c r="H52" s="403"/>
      <c r="I52" s="389"/>
      <c r="J52" s="282"/>
      <c r="K52" s="223"/>
      <c r="L52" s="277"/>
      <c r="M52" s="244"/>
      <c r="N52" s="266"/>
      <c r="O52" s="315" t="s">
        <v>1043</v>
      </c>
      <c r="P52" s="304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47"/>
      <c r="AD52" s="292"/>
      <c r="AE52" s="89"/>
    </row>
    <row r="53" spans="2:31" ht="12.75" customHeight="1" x14ac:dyDescent="0.2">
      <c r="B53" s="284" t="s">
        <v>779</v>
      </c>
      <c r="C53" s="387">
        <f>-'TB (2) - May'!D61</f>
        <v>-803.93</v>
      </c>
      <c r="D53" s="388">
        <f t="shared" si="27"/>
        <v>1779.4033333333336</v>
      </c>
      <c r="E53" s="389">
        <f t="shared" si="28"/>
        <v>-2583.3333333333335</v>
      </c>
      <c r="F53" s="387">
        <f>-TB!D61</f>
        <v>-7814.93</v>
      </c>
      <c r="G53" s="388">
        <f t="shared" si="23"/>
        <v>5101.74</v>
      </c>
      <c r="H53" s="403">
        <f t="shared" si="13"/>
        <v>39</v>
      </c>
      <c r="I53" s="389">
        <f>ROUND(SUMIF($Q$5:$AB$5,"&lt;="&amp;$B$3,Q53:AB53),2)</f>
        <v>-12916.67</v>
      </c>
      <c r="J53" s="282">
        <v>-31000</v>
      </c>
      <c r="K53" s="223">
        <f>+F53-L53</f>
        <v>13185.07</v>
      </c>
      <c r="L53" s="277">
        <v>-21000</v>
      </c>
      <c r="M53" s="244"/>
      <c r="N53" s="266"/>
      <c r="O53" s="312" t="s">
        <v>779</v>
      </c>
      <c r="P53" s="304">
        <v>-31000</v>
      </c>
      <c r="Q53" s="255">
        <f t="shared" si="24"/>
        <v>-2583.3333333333335</v>
      </c>
      <c r="R53" s="255">
        <f t="shared" si="24"/>
        <v>-2583.3333333333335</v>
      </c>
      <c r="S53" s="255">
        <f t="shared" si="24"/>
        <v>-2583.3333333333335</v>
      </c>
      <c r="T53" s="255">
        <f t="shared" si="24"/>
        <v>-2583.3333333333335</v>
      </c>
      <c r="U53" s="255">
        <f t="shared" si="24"/>
        <v>-2583.3333333333335</v>
      </c>
      <c r="V53" s="255">
        <f t="shared" si="24"/>
        <v>-2583.3333333333335</v>
      </c>
      <c r="W53" s="255">
        <f t="shared" si="24"/>
        <v>-2583.3333333333335</v>
      </c>
      <c r="X53" s="255">
        <f t="shared" si="24"/>
        <v>-2583.3333333333335</v>
      </c>
      <c r="Y53" s="255">
        <f t="shared" si="24"/>
        <v>-2583.3333333333335</v>
      </c>
      <c r="Z53" s="255">
        <f t="shared" si="24"/>
        <v>-2583.3333333333335</v>
      </c>
      <c r="AA53" s="255">
        <f t="shared" si="24"/>
        <v>-2583.3333333333335</v>
      </c>
      <c r="AB53" s="255">
        <f t="shared" si="24"/>
        <v>-2583.3333333333335</v>
      </c>
      <c r="AC53" s="247">
        <f t="shared" si="25"/>
        <v>-30999.999999999996</v>
      </c>
      <c r="AD53" s="292" t="b">
        <f t="shared" si="26"/>
        <v>1</v>
      </c>
      <c r="AE53" s="89"/>
    </row>
    <row r="54" spans="2:31" ht="12.75" customHeight="1" x14ac:dyDescent="0.2">
      <c r="B54" s="284" t="s">
        <v>913</v>
      </c>
      <c r="C54" s="387">
        <f>-'TB (2) - May'!D86</f>
        <v>0</v>
      </c>
      <c r="D54" s="388">
        <f>+C54-E54</f>
        <v>33.333333333333336</v>
      </c>
      <c r="E54" s="389">
        <f>T54</f>
        <v>-33.333333333333336</v>
      </c>
      <c r="F54" s="387">
        <f>-TB!D86</f>
        <v>0</v>
      </c>
      <c r="G54" s="388">
        <f>+F54-I54</f>
        <v>166.67</v>
      </c>
      <c r="H54" s="403">
        <f>IFERROR(ROUND((G54/ABS(I54))*100,0),0)</f>
        <v>100</v>
      </c>
      <c r="I54" s="389">
        <f>ROUND(SUMIF($Q$5:$AB$5,"&lt;="&amp;$B$3,Q54:AB54),2)</f>
        <v>-166.67</v>
      </c>
      <c r="J54" s="282">
        <v>-400</v>
      </c>
      <c r="K54" s="223">
        <f>+F54-L54</f>
        <v>600</v>
      </c>
      <c r="L54" s="277">
        <v>-600</v>
      </c>
      <c r="M54" s="244"/>
      <c r="N54" s="266"/>
      <c r="O54" s="312" t="s">
        <v>913</v>
      </c>
      <c r="P54" s="304">
        <v>-400</v>
      </c>
      <c r="Q54" s="255">
        <f t="shared" ref="Q54:AB54" si="29">$P54/12</f>
        <v>-33.333333333333336</v>
      </c>
      <c r="R54" s="255">
        <f t="shared" si="29"/>
        <v>-33.333333333333336</v>
      </c>
      <c r="S54" s="255">
        <f t="shared" si="29"/>
        <v>-33.333333333333336</v>
      </c>
      <c r="T54" s="255">
        <f t="shared" si="29"/>
        <v>-33.333333333333336</v>
      </c>
      <c r="U54" s="255">
        <f t="shared" si="29"/>
        <v>-33.333333333333336</v>
      </c>
      <c r="V54" s="255">
        <f t="shared" si="29"/>
        <v>-33.333333333333336</v>
      </c>
      <c r="W54" s="255">
        <f t="shared" si="29"/>
        <v>-33.333333333333336</v>
      </c>
      <c r="X54" s="255">
        <f t="shared" si="29"/>
        <v>-33.333333333333336</v>
      </c>
      <c r="Y54" s="255">
        <f t="shared" si="29"/>
        <v>-33.333333333333336</v>
      </c>
      <c r="Z54" s="255">
        <f t="shared" si="29"/>
        <v>-33.333333333333336</v>
      </c>
      <c r="AA54" s="255">
        <f t="shared" si="29"/>
        <v>-33.333333333333336</v>
      </c>
      <c r="AB54" s="255">
        <f t="shared" si="29"/>
        <v>-33.333333333333336</v>
      </c>
      <c r="AC54" s="247">
        <f>SUM(Q54:AB54)</f>
        <v>-399.99999999999994</v>
      </c>
      <c r="AD54" s="292" t="b">
        <f>AC54=P54</f>
        <v>1</v>
      </c>
      <c r="AE54" s="89"/>
    </row>
    <row r="55" spans="2:31" ht="12.75" customHeight="1" x14ac:dyDescent="0.2">
      <c r="B55" s="284" t="s">
        <v>1055</v>
      </c>
      <c r="C55" s="387">
        <f>-4500/12</f>
        <v>-375</v>
      </c>
      <c r="D55" s="388">
        <f>+C55-E55</f>
        <v>0</v>
      </c>
      <c r="E55" s="389">
        <f>-4500/12</f>
        <v>-375</v>
      </c>
      <c r="F55" s="387">
        <f>D2*C55</f>
        <v>-1875</v>
      </c>
      <c r="G55" s="388">
        <f>+F55-I55</f>
        <v>0</v>
      </c>
      <c r="H55" s="403"/>
      <c r="I55" s="389">
        <f>P55/12*D2</f>
        <v>-1875</v>
      </c>
      <c r="J55" s="282">
        <f>P55</f>
        <v>-4500</v>
      </c>
      <c r="K55" s="223"/>
      <c r="L55" s="277"/>
      <c r="M55" s="244"/>
      <c r="N55" s="266"/>
      <c r="O55" s="312" t="s">
        <v>905</v>
      </c>
      <c r="P55" s="304">
        <v>-4500</v>
      </c>
      <c r="Q55" s="255">
        <v>-375</v>
      </c>
      <c r="R55" s="255">
        <v>-375</v>
      </c>
      <c r="S55" s="255">
        <v>-375</v>
      </c>
      <c r="T55" s="255">
        <v>-375</v>
      </c>
      <c r="U55" s="255">
        <v>-375</v>
      </c>
      <c r="V55" s="255">
        <v>-375</v>
      </c>
      <c r="W55" s="255">
        <v>-375</v>
      </c>
      <c r="X55" s="255">
        <v>-375</v>
      </c>
      <c r="Y55" s="255">
        <v>-375</v>
      </c>
      <c r="Z55" s="255">
        <v>-375</v>
      </c>
      <c r="AA55" s="255">
        <v>-375</v>
      </c>
      <c r="AB55" s="255">
        <v>-375</v>
      </c>
      <c r="AC55" s="247">
        <f>SUM(Q55:AB55)</f>
        <v>-4500</v>
      </c>
      <c r="AD55" s="292" t="b">
        <f>AC55=P55</f>
        <v>1</v>
      </c>
      <c r="AE55" s="89"/>
    </row>
    <row r="56" spans="2:31" ht="12.75" customHeight="1" x14ac:dyDescent="0.25">
      <c r="B56" s="286" t="s">
        <v>1063</v>
      </c>
      <c r="C56" s="418">
        <f>SUM(C48:C55)</f>
        <v>-10823.31</v>
      </c>
      <c r="D56" s="384">
        <f>+C56-E56</f>
        <v>-748.30999999999767</v>
      </c>
      <c r="E56" s="419">
        <f>SUM(E48:E55)</f>
        <v>-10075.000000000002</v>
      </c>
      <c r="F56" s="418">
        <f>SUM(F48:F55)</f>
        <v>-41834.910000000003</v>
      </c>
      <c r="G56" s="384">
        <f>+F56-I56</f>
        <v>8540.0899999999965</v>
      </c>
      <c r="H56" s="384"/>
      <c r="I56" s="418">
        <f>SUM(I48:I55)</f>
        <v>-50375</v>
      </c>
      <c r="J56" s="287"/>
      <c r="K56" s="221"/>
      <c r="L56" s="222"/>
      <c r="M56" s="284"/>
      <c r="N56" s="266"/>
      <c r="O56" s="309" t="s">
        <v>1041</v>
      </c>
      <c r="P56" s="355">
        <f>SUM(P48:P55)</f>
        <v>-120900</v>
      </c>
      <c r="Q56" s="355">
        <f t="shared" ref="Q56:AC56" si="30">SUM(Q48:Q55)</f>
        <v>-10075.000000000002</v>
      </c>
      <c r="R56" s="355">
        <f t="shared" si="30"/>
        <v>-10075.000000000002</v>
      </c>
      <c r="S56" s="355">
        <f t="shared" si="30"/>
        <v>-10075.000000000002</v>
      </c>
      <c r="T56" s="355">
        <f t="shared" si="30"/>
        <v>-10075.000000000002</v>
      </c>
      <c r="U56" s="355">
        <f t="shared" si="30"/>
        <v>-10075.000000000002</v>
      </c>
      <c r="V56" s="355">
        <f t="shared" si="30"/>
        <v>-10075.000000000002</v>
      </c>
      <c r="W56" s="355">
        <f t="shared" si="30"/>
        <v>-10075.000000000002</v>
      </c>
      <c r="X56" s="355">
        <f t="shared" si="30"/>
        <v>-10075.000000000002</v>
      </c>
      <c r="Y56" s="355">
        <f t="shared" si="30"/>
        <v>-10075.000000000002</v>
      </c>
      <c r="Z56" s="355">
        <f t="shared" si="30"/>
        <v>-10075.000000000002</v>
      </c>
      <c r="AA56" s="355">
        <f t="shared" si="30"/>
        <v>-10075.000000000002</v>
      </c>
      <c r="AB56" s="355">
        <f t="shared" si="30"/>
        <v>-10075.000000000002</v>
      </c>
      <c r="AC56" s="355">
        <f t="shared" si="30"/>
        <v>-120900</v>
      </c>
      <c r="AD56" s="295" t="b">
        <f>AC56=P56</f>
        <v>1</v>
      </c>
      <c r="AE56" s="89"/>
    </row>
    <row r="57" spans="2:31" ht="12.75" customHeight="1" x14ac:dyDescent="0.2">
      <c r="B57" s="284"/>
      <c r="C57" s="387"/>
      <c r="D57" s="388"/>
      <c r="E57" s="389"/>
      <c r="F57" s="387"/>
      <c r="G57" s="388"/>
      <c r="H57" s="403"/>
      <c r="I57" s="389"/>
      <c r="J57" s="282"/>
      <c r="K57" s="223"/>
      <c r="L57" s="277"/>
      <c r="M57" s="284"/>
      <c r="N57" s="266"/>
      <c r="O57" s="312"/>
      <c r="P57" s="304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47"/>
      <c r="AD57" s="293"/>
      <c r="AE57" s="89"/>
    </row>
    <row r="58" spans="2:31" ht="12.75" customHeight="1" x14ac:dyDescent="0.25">
      <c r="B58" s="286" t="s">
        <v>1036</v>
      </c>
      <c r="C58" s="418"/>
      <c r="D58" s="384"/>
      <c r="E58" s="419"/>
      <c r="F58" s="418"/>
      <c r="G58" s="384"/>
      <c r="H58" s="384"/>
      <c r="I58" s="419"/>
      <c r="J58" s="287"/>
      <c r="K58" s="221"/>
      <c r="L58" s="222"/>
      <c r="M58" s="244"/>
      <c r="N58" s="266"/>
      <c r="O58" s="309" t="s">
        <v>1036</v>
      </c>
      <c r="P58" s="302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4"/>
      <c r="AD58" s="295"/>
      <c r="AE58" s="89"/>
    </row>
    <row r="59" spans="2:31" ht="12.75" customHeight="1" x14ac:dyDescent="0.2">
      <c r="B59" s="284" t="s">
        <v>772</v>
      </c>
      <c r="C59" s="387">
        <f>-'TB (2) - May'!D103-'TB (2) - May'!D100</f>
        <v>-2889.2</v>
      </c>
      <c r="D59" s="388">
        <f>+C59-E59</f>
        <v>-2438.1999999999998</v>
      </c>
      <c r="E59" s="389">
        <f>U59</f>
        <v>-451</v>
      </c>
      <c r="F59" s="387">
        <f>-TB!D103-TB!D100</f>
        <v>-3840.06</v>
      </c>
      <c r="G59" s="388">
        <f>+F59-I59</f>
        <v>-2438.06</v>
      </c>
      <c r="H59" s="390">
        <f>IFERROR(ROUND((G59/ABS(I59))*100,0),0)</f>
        <v>-174</v>
      </c>
      <c r="I59" s="389">
        <f>ROUND(SUMIF($Q$5:$AB$5,"&lt;="&amp;$B$3,Q59:AB59),2)</f>
        <v>-1402</v>
      </c>
      <c r="J59" s="282">
        <v>-7500</v>
      </c>
      <c r="K59" s="223">
        <f>+F59-L59</f>
        <v>5159.9400000000005</v>
      </c>
      <c r="L59" s="277">
        <v>-9000</v>
      </c>
      <c r="M59" s="244"/>
      <c r="N59" s="266"/>
      <c r="O59" s="312" t="s">
        <v>772</v>
      </c>
      <c r="P59" s="304">
        <v>-7500</v>
      </c>
      <c r="Q59" s="255"/>
      <c r="R59" s="255"/>
      <c r="S59" s="255"/>
      <c r="T59" s="255">
        <v>-951</v>
      </c>
      <c r="U59" s="255">
        <v>-451</v>
      </c>
      <c r="V59" s="255">
        <v>-6098</v>
      </c>
      <c r="W59" s="255"/>
      <c r="X59" s="255"/>
      <c r="Y59" s="255"/>
      <c r="Z59" s="255"/>
      <c r="AA59" s="255"/>
      <c r="AB59" s="255"/>
      <c r="AC59" s="247">
        <f>SUM(Q59:AB59)</f>
        <v>-7500</v>
      </c>
      <c r="AD59" s="293" t="b">
        <f>AC59=P59</f>
        <v>1</v>
      </c>
      <c r="AE59" s="89"/>
    </row>
    <row r="60" spans="2:31" ht="12.75" customHeight="1" x14ac:dyDescent="0.25">
      <c r="B60" s="286" t="s">
        <v>1039</v>
      </c>
      <c r="C60" s="420">
        <f>SUM(C58:C59)</f>
        <v>-2889.2</v>
      </c>
      <c r="D60" s="392">
        <f>+C60-E60</f>
        <v>-2438.1999999999998</v>
      </c>
      <c r="E60" s="420">
        <f>SUM(E58:E59)</f>
        <v>-451</v>
      </c>
      <c r="F60" s="420">
        <f>SUM(F58:F59)</f>
        <v>-3840.06</v>
      </c>
      <c r="G60" s="392">
        <f>+F60-I60</f>
        <v>-2438.06</v>
      </c>
      <c r="H60" s="420">
        <f>SUM(H44:H59)</f>
        <v>28</v>
      </c>
      <c r="I60" s="420">
        <f>SUM(I58:I59)</f>
        <v>-1402</v>
      </c>
      <c r="J60" s="287"/>
      <c r="K60" s="221"/>
      <c r="L60" s="222"/>
      <c r="M60" s="244"/>
      <c r="N60" s="266"/>
      <c r="O60" s="309" t="s">
        <v>1039</v>
      </c>
      <c r="P60" s="356">
        <f>SUM(P58:P59)</f>
        <v>-7500</v>
      </c>
      <c r="Q60" s="356">
        <f t="shared" ref="Q60:AC60" si="31">SUM(Q58:Q59)</f>
        <v>0</v>
      </c>
      <c r="R60" s="356">
        <f t="shared" si="31"/>
        <v>0</v>
      </c>
      <c r="S60" s="356">
        <f t="shared" si="31"/>
        <v>0</v>
      </c>
      <c r="T60" s="356">
        <f t="shared" si="31"/>
        <v>-951</v>
      </c>
      <c r="U60" s="356">
        <f t="shared" si="31"/>
        <v>-451</v>
      </c>
      <c r="V60" s="356">
        <f t="shared" si="31"/>
        <v>-6098</v>
      </c>
      <c r="W60" s="356">
        <f t="shared" si="31"/>
        <v>0</v>
      </c>
      <c r="X60" s="356">
        <f t="shared" si="31"/>
        <v>0</v>
      </c>
      <c r="Y60" s="356">
        <f t="shared" si="31"/>
        <v>0</v>
      </c>
      <c r="Z60" s="356">
        <f t="shared" si="31"/>
        <v>0</v>
      </c>
      <c r="AA60" s="356">
        <f t="shared" si="31"/>
        <v>0</v>
      </c>
      <c r="AB60" s="356">
        <f t="shared" si="31"/>
        <v>0</v>
      </c>
      <c r="AC60" s="356">
        <f t="shared" si="31"/>
        <v>-7500</v>
      </c>
      <c r="AD60" s="357" t="b">
        <f t="shared" ref="AD60" si="32">AC60=P60</f>
        <v>1</v>
      </c>
      <c r="AE60" s="89"/>
    </row>
    <row r="61" spans="2:31" ht="12.75" customHeight="1" x14ac:dyDescent="0.2">
      <c r="B61" s="284"/>
      <c r="C61" s="387"/>
      <c r="D61" s="388"/>
      <c r="E61" s="389"/>
      <c r="F61" s="387"/>
      <c r="G61" s="388"/>
      <c r="H61" s="403"/>
      <c r="I61" s="389"/>
      <c r="J61" s="282"/>
      <c r="K61" s="223"/>
      <c r="L61" s="277"/>
      <c r="M61" s="244"/>
      <c r="N61" s="266"/>
      <c r="O61" s="312"/>
      <c r="P61" s="304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47"/>
      <c r="AD61" s="293"/>
      <c r="AE61" s="89"/>
    </row>
    <row r="62" spans="2:31" ht="12.75" customHeight="1" x14ac:dyDescent="0.25">
      <c r="B62" s="286" t="s">
        <v>1047</v>
      </c>
      <c r="C62" s="416"/>
      <c r="D62" s="398"/>
      <c r="E62" s="417"/>
      <c r="F62" s="416"/>
      <c r="G62" s="398"/>
      <c r="H62" s="398"/>
      <c r="I62" s="417"/>
      <c r="J62" s="287"/>
      <c r="K62" s="221"/>
      <c r="L62" s="222"/>
      <c r="M62" s="244"/>
      <c r="N62" s="266"/>
      <c r="O62" s="309" t="s">
        <v>1047</v>
      </c>
      <c r="P62" s="358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4"/>
      <c r="AD62" s="359"/>
      <c r="AE62" s="89"/>
    </row>
    <row r="63" spans="2:31" ht="12.75" customHeight="1" x14ac:dyDescent="0.2">
      <c r="B63" s="285" t="s">
        <v>1048</v>
      </c>
      <c r="C63" s="401"/>
      <c r="D63" s="388"/>
      <c r="E63" s="402"/>
      <c r="F63" s="401"/>
      <c r="G63" s="388"/>
      <c r="H63" s="403"/>
      <c r="I63" s="402"/>
      <c r="J63" s="288"/>
      <c r="K63" s="221"/>
      <c r="L63" s="222"/>
      <c r="M63" s="244"/>
      <c r="N63" s="266"/>
      <c r="O63" s="315" t="s">
        <v>1048</v>
      </c>
      <c r="P63" s="303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47"/>
      <c r="AD63" s="293"/>
      <c r="AE63" s="89"/>
    </row>
    <row r="64" spans="2:31" ht="12.75" customHeight="1" x14ac:dyDescent="0.2">
      <c r="B64" s="284" t="s">
        <v>773</v>
      </c>
      <c r="C64" s="387">
        <f>-'TB (2) - May'!D75-'TB (2) - May'!D76-'TB (2) - May'!D77-'TB (2) - May'!D78-'TB (2) - May'!D79</f>
        <v>-3946.5299999999997</v>
      </c>
      <c r="D64" s="388">
        <f>+C64-E64</f>
        <v>-3404.8633333333332</v>
      </c>
      <c r="E64" s="389">
        <f>T64</f>
        <v>-541.66666666666663</v>
      </c>
      <c r="F64" s="387">
        <f>-TB!D75-TB!D76-TB!D77-TB!D78-TB!D79</f>
        <v>-5592.87</v>
      </c>
      <c r="G64" s="388">
        <f>+F64-I64</f>
        <v>-2884.54</v>
      </c>
      <c r="H64" s="390">
        <f>IFERROR(ROUND((G64/ABS(I64))*100,0),0)</f>
        <v>-107</v>
      </c>
      <c r="I64" s="389">
        <f>ROUND(SUMIF($Q$5:$AB$5,"&lt;="&amp;$B$3,Q64:AB64),2)</f>
        <v>-2708.33</v>
      </c>
      <c r="J64" s="282">
        <v>-6500</v>
      </c>
      <c r="K64" s="223">
        <f>+F64-L64</f>
        <v>957.13000000000011</v>
      </c>
      <c r="L64" s="277">
        <v>-6550</v>
      </c>
      <c r="M64" s="244"/>
      <c r="N64" s="266"/>
      <c r="O64" s="312" t="s">
        <v>773</v>
      </c>
      <c r="P64" s="304">
        <v>-6500</v>
      </c>
      <c r="Q64" s="255">
        <f t="shared" ref="Q64:AB66" si="33">$P64/12</f>
        <v>-541.66666666666663</v>
      </c>
      <c r="R64" s="255">
        <f t="shared" si="33"/>
        <v>-541.66666666666663</v>
      </c>
      <c r="S64" s="255">
        <f t="shared" si="33"/>
        <v>-541.66666666666663</v>
      </c>
      <c r="T64" s="255">
        <f t="shared" si="33"/>
        <v>-541.66666666666663</v>
      </c>
      <c r="U64" s="255">
        <f t="shared" si="33"/>
        <v>-541.66666666666663</v>
      </c>
      <c r="V64" s="255">
        <f t="shared" si="33"/>
        <v>-541.66666666666663</v>
      </c>
      <c r="W64" s="255">
        <f t="shared" si="33"/>
        <v>-541.66666666666663</v>
      </c>
      <c r="X64" s="255">
        <f t="shared" si="33"/>
        <v>-541.66666666666663</v>
      </c>
      <c r="Y64" s="255">
        <f t="shared" si="33"/>
        <v>-541.66666666666663</v>
      </c>
      <c r="Z64" s="255">
        <f t="shared" si="33"/>
        <v>-541.66666666666663</v>
      </c>
      <c r="AA64" s="255">
        <f t="shared" si="33"/>
        <v>-541.66666666666663</v>
      </c>
      <c r="AB64" s="255">
        <f t="shared" si="33"/>
        <v>-541.66666666666663</v>
      </c>
      <c r="AC64" s="247">
        <f>SUM(Q64:AB64)</f>
        <v>-6500.0000000000009</v>
      </c>
      <c r="AD64" s="293" t="b">
        <f>AC64=P64</f>
        <v>1</v>
      </c>
      <c r="AE64" s="89"/>
    </row>
    <row r="65" spans="1:31" ht="12.75" customHeight="1" x14ac:dyDescent="0.2">
      <c r="B65" s="284" t="s">
        <v>777</v>
      </c>
      <c r="C65" s="387">
        <f>-'TB (2) - May'!D93-'TB (2) - May'!D92</f>
        <v>-2652.79</v>
      </c>
      <c r="D65" s="388">
        <f>+C65-E65</f>
        <v>-1397.29</v>
      </c>
      <c r="E65" s="389">
        <f>T65</f>
        <v>-1255.5</v>
      </c>
      <c r="F65" s="387">
        <f>-TB!D93-TB!D92</f>
        <v>-5500.77</v>
      </c>
      <c r="G65" s="388">
        <f>+F65-I65</f>
        <v>776.72999999999956</v>
      </c>
      <c r="H65" s="390">
        <f>IFERROR(ROUND((G65/ABS(I65))*100,0),0)</f>
        <v>12</v>
      </c>
      <c r="I65" s="389">
        <f>ROUND(SUMIF($Q$5:$AB$5,"&lt;="&amp;$B$3,Q65:AB65),2)</f>
        <v>-6277.5</v>
      </c>
      <c r="J65" s="282">
        <v>-15066</v>
      </c>
      <c r="K65" s="223">
        <f>+F65-L65</f>
        <v>13499.23</v>
      </c>
      <c r="L65" s="277">
        <v>-19000</v>
      </c>
      <c r="M65" s="244"/>
      <c r="N65" s="266"/>
      <c r="O65" s="312" t="s">
        <v>777</v>
      </c>
      <c r="P65" s="304">
        <v>-15066</v>
      </c>
      <c r="Q65" s="255">
        <f t="shared" si="33"/>
        <v>-1255.5</v>
      </c>
      <c r="R65" s="255">
        <f t="shared" si="33"/>
        <v>-1255.5</v>
      </c>
      <c r="S65" s="255">
        <f t="shared" si="33"/>
        <v>-1255.5</v>
      </c>
      <c r="T65" s="255">
        <f t="shared" si="33"/>
        <v>-1255.5</v>
      </c>
      <c r="U65" s="255">
        <f t="shared" si="33"/>
        <v>-1255.5</v>
      </c>
      <c r="V65" s="255">
        <f t="shared" si="33"/>
        <v>-1255.5</v>
      </c>
      <c r="W65" s="255">
        <f t="shared" si="33"/>
        <v>-1255.5</v>
      </c>
      <c r="X65" s="255">
        <f t="shared" si="33"/>
        <v>-1255.5</v>
      </c>
      <c r="Y65" s="255">
        <f t="shared" si="33"/>
        <v>-1255.5</v>
      </c>
      <c r="Z65" s="255">
        <f t="shared" si="33"/>
        <v>-1255.5</v>
      </c>
      <c r="AA65" s="255">
        <f t="shared" si="33"/>
        <v>-1255.5</v>
      </c>
      <c r="AB65" s="255">
        <f t="shared" si="33"/>
        <v>-1255.5</v>
      </c>
      <c r="AC65" s="247">
        <f>SUM(Q65:AB65)</f>
        <v>-15066</v>
      </c>
      <c r="AD65" s="292" t="b">
        <f>AC65=P65</f>
        <v>1</v>
      </c>
      <c r="AE65" s="89"/>
    </row>
    <row r="66" spans="1:31" ht="12.75" customHeight="1" x14ac:dyDescent="0.2">
      <c r="B66" s="284" t="s">
        <v>771</v>
      </c>
      <c r="C66" s="387">
        <f>-'TB (2) - May'!D80-'TB (2) - May'!D90-'TB (2) - May'!D82-'TB (2) - May'!D81</f>
        <v>-368.81</v>
      </c>
      <c r="D66" s="388">
        <f>+C66-E66</f>
        <v>47.856666666666683</v>
      </c>
      <c r="E66" s="389">
        <f>T66</f>
        <v>-416.66666666666669</v>
      </c>
      <c r="F66" s="387">
        <f>-TB!D80-TB!D90-TB!D82-TB!D81</f>
        <v>-2199.6799999999998</v>
      </c>
      <c r="G66" s="388">
        <f>+F66-I66</f>
        <v>-116.34999999999991</v>
      </c>
      <c r="H66" s="390">
        <f>IFERROR(ROUND((G66/ABS(I66))*100,0),0)</f>
        <v>-6</v>
      </c>
      <c r="I66" s="389">
        <f>ROUND(SUMIF($Q$5:$AB$5,"&lt;="&amp;$B$3,Q66:AB66),2)</f>
        <v>-2083.33</v>
      </c>
      <c r="J66" s="282">
        <v>-5000</v>
      </c>
      <c r="K66" s="223">
        <f>+F66-L66</f>
        <v>1824.31</v>
      </c>
      <c r="L66" s="277">
        <v>-4023.99</v>
      </c>
      <c r="M66" s="268"/>
      <c r="N66" s="266"/>
      <c r="O66" s="312" t="s">
        <v>771</v>
      </c>
      <c r="P66" s="304">
        <v>-5000</v>
      </c>
      <c r="Q66" s="255">
        <f t="shared" si="33"/>
        <v>-416.66666666666669</v>
      </c>
      <c r="R66" s="255">
        <f t="shared" si="33"/>
        <v>-416.66666666666669</v>
      </c>
      <c r="S66" s="255">
        <f t="shared" si="33"/>
        <v>-416.66666666666669</v>
      </c>
      <c r="T66" s="255">
        <f t="shared" si="33"/>
        <v>-416.66666666666669</v>
      </c>
      <c r="U66" s="255">
        <f t="shared" si="33"/>
        <v>-416.66666666666669</v>
      </c>
      <c r="V66" s="255">
        <f t="shared" si="33"/>
        <v>-416.66666666666669</v>
      </c>
      <c r="W66" s="255">
        <f t="shared" si="33"/>
        <v>-416.66666666666669</v>
      </c>
      <c r="X66" s="255">
        <f t="shared" si="33"/>
        <v>-416.66666666666669</v>
      </c>
      <c r="Y66" s="255">
        <f t="shared" si="33"/>
        <v>-416.66666666666669</v>
      </c>
      <c r="Z66" s="255">
        <f t="shared" si="33"/>
        <v>-416.66666666666669</v>
      </c>
      <c r="AA66" s="255">
        <f t="shared" si="33"/>
        <v>-416.66666666666669</v>
      </c>
      <c r="AB66" s="255">
        <f t="shared" si="33"/>
        <v>-416.66666666666669</v>
      </c>
      <c r="AC66" s="247">
        <f>SUM(Q66:AB66)</f>
        <v>-5000</v>
      </c>
      <c r="AD66" s="292" t="b">
        <f>AC66=P66</f>
        <v>1</v>
      </c>
      <c r="AE66" s="89"/>
    </row>
    <row r="67" spans="1:31" ht="12.75" customHeight="1" x14ac:dyDescent="0.2">
      <c r="B67" s="284"/>
      <c r="C67" s="421"/>
      <c r="D67" s="388"/>
      <c r="E67" s="422"/>
      <c r="F67" s="421"/>
      <c r="G67" s="388"/>
      <c r="H67" s="423"/>
      <c r="I67" s="422"/>
      <c r="J67" s="289"/>
      <c r="K67" s="228"/>
      <c r="L67" s="220"/>
      <c r="M67" s="244"/>
      <c r="N67" s="244"/>
      <c r="O67" s="312"/>
      <c r="P67" s="305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56"/>
      <c r="AD67" s="292"/>
      <c r="AE67" s="89"/>
    </row>
    <row r="68" spans="1:31" ht="12.75" customHeight="1" x14ac:dyDescent="0.2">
      <c r="B68" s="285" t="s">
        <v>1049</v>
      </c>
      <c r="C68" s="421"/>
      <c r="D68" s="388"/>
      <c r="E68" s="422"/>
      <c r="F68" s="421"/>
      <c r="G68" s="388"/>
      <c r="H68" s="423"/>
      <c r="I68" s="422"/>
      <c r="J68" s="289"/>
      <c r="K68" s="228"/>
      <c r="L68" s="220"/>
      <c r="M68" s="244"/>
      <c r="N68" s="244"/>
      <c r="O68" s="315" t="s">
        <v>1049</v>
      </c>
      <c r="P68" s="305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56"/>
      <c r="AD68" s="292"/>
      <c r="AE68" s="89"/>
    </row>
    <row r="69" spans="1:31" ht="12.75" customHeight="1" x14ac:dyDescent="0.2">
      <c r="B69" s="284" t="s">
        <v>778</v>
      </c>
      <c r="C69" s="387">
        <f>-'TB (2) - May'!D68-'TB (2) - May'!D83-'TB (2) - May'!D84-'TB (2) - May'!D85</f>
        <v>-695.09</v>
      </c>
      <c r="D69" s="388">
        <f>+C69-E69</f>
        <v>-195.09000000000003</v>
      </c>
      <c r="E69" s="389">
        <f>T69</f>
        <v>-500</v>
      </c>
      <c r="F69" s="387">
        <f>-TB!D68-TB!D83-TB!D84-TB!D85</f>
        <v>-1939.35</v>
      </c>
      <c r="G69" s="388">
        <f>+F69-I69</f>
        <v>560.65000000000009</v>
      </c>
      <c r="H69" s="390">
        <f>IFERROR(ROUND((G69/ABS(I69))*100,0),0)</f>
        <v>22</v>
      </c>
      <c r="I69" s="389">
        <f>ROUND(SUMIF($Q$5:$AB$5,"&lt;="&amp;$B$3,Q69:AB69),2)</f>
        <v>-2500</v>
      </c>
      <c r="J69" s="282">
        <v>-6000</v>
      </c>
      <c r="K69" s="223">
        <f>+F69-L69</f>
        <v>4060.65</v>
      </c>
      <c r="L69" s="277">
        <v>-6000</v>
      </c>
      <c r="M69" s="268"/>
      <c r="N69" s="266"/>
      <c r="O69" s="312" t="s">
        <v>778</v>
      </c>
      <c r="P69" s="304">
        <v>-6000</v>
      </c>
      <c r="Q69" s="255">
        <f t="shared" ref="Q69:AB69" si="34">$P69/12</f>
        <v>-500</v>
      </c>
      <c r="R69" s="255">
        <f t="shared" si="34"/>
        <v>-500</v>
      </c>
      <c r="S69" s="255">
        <f t="shared" si="34"/>
        <v>-500</v>
      </c>
      <c r="T69" s="255">
        <f t="shared" si="34"/>
        <v>-500</v>
      </c>
      <c r="U69" s="255">
        <f t="shared" si="34"/>
        <v>-500</v>
      </c>
      <c r="V69" s="255">
        <f t="shared" si="34"/>
        <v>-500</v>
      </c>
      <c r="W69" s="255">
        <f t="shared" si="34"/>
        <v>-500</v>
      </c>
      <c r="X69" s="255">
        <f t="shared" si="34"/>
        <v>-500</v>
      </c>
      <c r="Y69" s="255">
        <f t="shared" si="34"/>
        <v>-500</v>
      </c>
      <c r="Z69" s="255">
        <f t="shared" si="34"/>
        <v>-500</v>
      </c>
      <c r="AA69" s="255">
        <f t="shared" si="34"/>
        <v>-500</v>
      </c>
      <c r="AB69" s="255">
        <f t="shared" si="34"/>
        <v>-500</v>
      </c>
      <c r="AC69" s="247">
        <f>SUM(Q69:AB69)</f>
        <v>-6000</v>
      </c>
      <c r="AD69" s="292" t="b">
        <f>AC69=P69</f>
        <v>1</v>
      </c>
      <c r="AE69" s="89"/>
    </row>
    <row r="70" spans="1:31" ht="12.75" customHeight="1" x14ac:dyDescent="0.2">
      <c r="B70" s="284"/>
      <c r="C70" s="387"/>
      <c r="D70" s="388"/>
      <c r="E70" s="389"/>
      <c r="F70" s="387"/>
      <c r="G70" s="388"/>
      <c r="H70" s="390"/>
      <c r="I70" s="389"/>
      <c r="J70" s="282"/>
      <c r="K70" s="223"/>
      <c r="L70" s="277"/>
      <c r="M70" s="244"/>
      <c r="N70" s="266"/>
      <c r="O70" s="312"/>
      <c r="P70" s="304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47"/>
      <c r="AD70" s="292"/>
      <c r="AE70" s="89"/>
    </row>
    <row r="71" spans="1:31" ht="12.75" customHeight="1" x14ac:dyDescent="0.2">
      <c r="B71" s="285" t="s">
        <v>97</v>
      </c>
      <c r="C71" s="387"/>
      <c r="D71" s="388"/>
      <c r="E71" s="389"/>
      <c r="F71" s="387"/>
      <c r="G71" s="388"/>
      <c r="H71" s="390"/>
      <c r="I71" s="389"/>
      <c r="J71" s="282"/>
      <c r="K71" s="223"/>
      <c r="L71" s="277"/>
      <c r="M71" s="244"/>
      <c r="N71" s="266"/>
      <c r="O71" s="315" t="s">
        <v>97</v>
      </c>
      <c r="P71" s="304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47"/>
      <c r="AD71" s="292"/>
      <c r="AE71" s="89"/>
    </row>
    <row r="72" spans="1:31" ht="12.75" customHeight="1" x14ac:dyDescent="0.2">
      <c r="B72" s="284" t="s">
        <v>97</v>
      </c>
      <c r="C72" s="387">
        <f>-'TB (2) - May'!D91</f>
        <v>-2210</v>
      </c>
      <c r="D72" s="388">
        <f>+C72-E72</f>
        <v>735.33333333333348</v>
      </c>
      <c r="E72" s="389">
        <f>T72</f>
        <v>-2945.3333333333335</v>
      </c>
      <c r="F72" s="387">
        <f>-TB!D91</f>
        <v>-16424</v>
      </c>
      <c r="G72" s="388">
        <f>+F72-I72</f>
        <v>-1697.33</v>
      </c>
      <c r="H72" s="390">
        <f>IFERROR(ROUND((G72/ABS(I72))*100,0),0)</f>
        <v>-12</v>
      </c>
      <c r="I72" s="389">
        <f>ROUND(SUMIF($Q$5:$AB$5,"&lt;="&amp;$B$3,Q72:AB72),2)</f>
        <v>-14726.67</v>
      </c>
      <c r="J72" s="282">
        <v>-35344</v>
      </c>
      <c r="K72" s="223">
        <f>+F72-L72</f>
        <v>11192</v>
      </c>
      <c r="L72" s="277">
        <v>-27616</v>
      </c>
      <c r="M72" s="244"/>
      <c r="N72" s="266"/>
      <c r="O72" s="312" t="s">
        <v>97</v>
      </c>
      <c r="P72" s="304">
        <v>-35344</v>
      </c>
      <c r="Q72" s="255">
        <f t="shared" ref="Q72:AB72" si="35">$P72/12</f>
        <v>-2945.3333333333335</v>
      </c>
      <c r="R72" s="255">
        <f t="shared" si="35"/>
        <v>-2945.3333333333335</v>
      </c>
      <c r="S72" s="255">
        <f t="shared" si="35"/>
        <v>-2945.3333333333335</v>
      </c>
      <c r="T72" s="255">
        <f t="shared" si="35"/>
        <v>-2945.3333333333335</v>
      </c>
      <c r="U72" s="255">
        <f t="shared" si="35"/>
        <v>-2945.3333333333335</v>
      </c>
      <c r="V72" s="255">
        <f t="shared" si="35"/>
        <v>-2945.3333333333335</v>
      </c>
      <c r="W72" s="255">
        <f t="shared" si="35"/>
        <v>-2945.3333333333335</v>
      </c>
      <c r="X72" s="255">
        <f t="shared" si="35"/>
        <v>-2945.3333333333335</v>
      </c>
      <c r="Y72" s="255">
        <f t="shared" si="35"/>
        <v>-2945.3333333333335</v>
      </c>
      <c r="Z72" s="255">
        <f t="shared" si="35"/>
        <v>-2945.3333333333335</v>
      </c>
      <c r="AA72" s="255">
        <f t="shared" si="35"/>
        <v>-2945.3333333333335</v>
      </c>
      <c r="AB72" s="255">
        <f t="shared" si="35"/>
        <v>-2945.3333333333335</v>
      </c>
      <c r="AC72" s="247">
        <f>SUM(Q72:AB72)</f>
        <v>-35343.999999999993</v>
      </c>
      <c r="AD72" s="292" t="b">
        <f>AC72=P72</f>
        <v>1</v>
      </c>
      <c r="AE72" s="89"/>
    </row>
    <row r="73" spans="1:31" ht="12.75" customHeight="1" x14ac:dyDescent="0.2">
      <c r="B73" s="284"/>
      <c r="C73" s="421"/>
      <c r="D73" s="388"/>
      <c r="E73" s="422"/>
      <c r="F73" s="421"/>
      <c r="G73" s="388"/>
      <c r="H73" s="423"/>
      <c r="I73" s="422"/>
      <c r="J73" s="289"/>
      <c r="K73" s="228"/>
      <c r="L73" s="220"/>
      <c r="M73" s="244"/>
      <c r="N73" s="244"/>
      <c r="O73" s="312"/>
      <c r="P73" s="305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56"/>
      <c r="AD73" s="292"/>
      <c r="AE73" s="89"/>
    </row>
    <row r="74" spans="1:31" ht="12.75" customHeight="1" x14ac:dyDescent="0.2">
      <c r="B74" s="285" t="s">
        <v>1050</v>
      </c>
      <c r="C74" s="421"/>
      <c r="D74" s="388"/>
      <c r="E74" s="422"/>
      <c r="F74" s="421"/>
      <c r="G74" s="388"/>
      <c r="H74" s="423"/>
      <c r="I74" s="422"/>
      <c r="J74" s="289"/>
      <c r="K74" s="228"/>
      <c r="L74" s="220"/>
      <c r="M74" s="244"/>
      <c r="N74" s="244"/>
      <c r="O74" s="315" t="s">
        <v>1050</v>
      </c>
      <c r="P74" s="305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56"/>
      <c r="AD74" s="292"/>
      <c r="AE74" s="89"/>
    </row>
    <row r="75" spans="1:31" ht="12.75" customHeight="1" x14ac:dyDescent="0.2">
      <c r="B75" s="284" t="s">
        <v>1053</v>
      </c>
      <c r="C75" s="387">
        <f>P75/12</f>
        <v>-708.33333333333337</v>
      </c>
      <c r="D75" s="388">
        <f>+C75-E75</f>
        <v>0</v>
      </c>
      <c r="E75" s="389">
        <f>P75/12</f>
        <v>-708.33333333333337</v>
      </c>
      <c r="F75" s="387">
        <f>P75/12*D2</f>
        <v>-3541.666666666667</v>
      </c>
      <c r="G75" s="388">
        <f>+F75-I75</f>
        <v>0</v>
      </c>
      <c r="H75" s="423"/>
      <c r="I75" s="389">
        <f>P75/12*D2</f>
        <v>-3541.666666666667</v>
      </c>
      <c r="J75" s="290">
        <f>P75</f>
        <v>-8500</v>
      </c>
      <c r="K75" s="228"/>
      <c r="L75" s="220"/>
      <c r="M75" s="244"/>
      <c r="N75" s="244"/>
      <c r="O75" s="312" t="s">
        <v>1053</v>
      </c>
      <c r="P75" s="304">
        <v>-8500</v>
      </c>
      <c r="Q75" s="255">
        <f t="shared" ref="Q75:AB75" si="36">$P75/12</f>
        <v>-708.33333333333337</v>
      </c>
      <c r="R75" s="255">
        <f t="shared" si="36"/>
        <v>-708.33333333333337</v>
      </c>
      <c r="S75" s="255">
        <f t="shared" si="36"/>
        <v>-708.33333333333337</v>
      </c>
      <c r="T75" s="255">
        <f t="shared" si="36"/>
        <v>-708.33333333333337</v>
      </c>
      <c r="U75" s="255">
        <f t="shared" si="36"/>
        <v>-708.33333333333337</v>
      </c>
      <c r="V75" s="255">
        <f t="shared" si="36"/>
        <v>-708.33333333333337</v>
      </c>
      <c r="W75" s="255">
        <f t="shared" si="36"/>
        <v>-708.33333333333337</v>
      </c>
      <c r="X75" s="255">
        <f t="shared" si="36"/>
        <v>-708.33333333333337</v>
      </c>
      <c r="Y75" s="255">
        <f t="shared" si="36"/>
        <v>-708.33333333333337</v>
      </c>
      <c r="Z75" s="255">
        <f t="shared" si="36"/>
        <v>-708.33333333333337</v>
      </c>
      <c r="AA75" s="255">
        <f t="shared" si="36"/>
        <v>-708.33333333333337</v>
      </c>
      <c r="AB75" s="255">
        <f t="shared" si="36"/>
        <v>-708.33333333333337</v>
      </c>
      <c r="AC75" s="247">
        <f>SUM(Q75:AB75)</f>
        <v>-8499.9999999999982</v>
      </c>
      <c r="AD75" s="292" t="b">
        <f>AC75=P75</f>
        <v>1</v>
      </c>
      <c r="AE75" s="89"/>
    </row>
    <row r="76" spans="1:31" ht="12.75" customHeight="1" x14ac:dyDescent="0.2">
      <c r="B76" s="284"/>
      <c r="C76" s="387"/>
      <c r="D76" s="388"/>
      <c r="E76" s="389"/>
      <c r="F76" s="387"/>
      <c r="G76" s="388"/>
      <c r="H76" s="390"/>
      <c r="I76" s="389"/>
      <c r="J76" s="282"/>
      <c r="K76" s="223">
        <f>+F76-L76</f>
        <v>45000</v>
      </c>
      <c r="L76" s="277">
        <v>-45000</v>
      </c>
      <c r="M76" s="244"/>
      <c r="N76" s="266"/>
      <c r="O76" s="316"/>
      <c r="P76" s="306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96"/>
      <c r="AE76" s="89"/>
    </row>
    <row r="77" spans="1:31" ht="12.75" customHeight="1" x14ac:dyDescent="0.2">
      <c r="B77" s="285" t="s">
        <v>1051</v>
      </c>
      <c r="C77" s="421"/>
      <c r="D77" s="388"/>
      <c r="E77" s="422"/>
      <c r="F77" s="421"/>
      <c r="G77" s="388"/>
      <c r="H77" s="423"/>
      <c r="I77" s="422"/>
      <c r="J77" s="289"/>
      <c r="K77" s="228"/>
      <c r="L77" s="220"/>
      <c r="M77" s="244"/>
      <c r="N77" s="244"/>
      <c r="O77" s="315" t="s">
        <v>1051</v>
      </c>
      <c r="P77" s="305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56"/>
      <c r="AD77" s="292"/>
      <c r="AE77" s="89"/>
    </row>
    <row r="78" spans="1:31" ht="12.75" customHeight="1" x14ac:dyDescent="0.2">
      <c r="B78" s="284" t="s">
        <v>930</v>
      </c>
      <c r="C78" s="387">
        <f>-'TB (2) - May'!D109-'TB (2) - May'!D111</f>
        <v>-51.81</v>
      </c>
      <c r="D78" s="388">
        <f t="shared" si="27"/>
        <v>-51.81</v>
      </c>
      <c r="E78" s="389">
        <f t="shared" si="28"/>
        <v>0</v>
      </c>
      <c r="F78" s="387">
        <f>-TB!D109-TB!C111</f>
        <v>-155.91</v>
      </c>
      <c r="G78" s="388">
        <f t="shared" si="23"/>
        <v>-155.91</v>
      </c>
      <c r="H78" s="390">
        <f t="shared" si="13"/>
        <v>0</v>
      </c>
      <c r="I78" s="389">
        <f>ROUND(SUMIF($Q$5:$AB$5,"&lt;="&amp;$B$3,Q78:AB78),2)</f>
        <v>0</v>
      </c>
      <c r="J78" s="282">
        <v>0</v>
      </c>
      <c r="K78" s="223">
        <f>+F78-L78</f>
        <v>8752.7800000000007</v>
      </c>
      <c r="L78" s="277">
        <v>-8908.69</v>
      </c>
      <c r="M78" s="244"/>
      <c r="N78" s="266"/>
      <c r="O78" s="312" t="s">
        <v>930</v>
      </c>
      <c r="P78" s="307">
        <v>0</v>
      </c>
      <c r="Q78" s="255">
        <f t="shared" ref="Q78:AB78" si="37">$P78/12</f>
        <v>0</v>
      </c>
      <c r="R78" s="255">
        <f t="shared" si="37"/>
        <v>0</v>
      </c>
      <c r="S78" s="255">
        <f t="shared" si="37"/>
        <v>0</v>
      </c>
      <c r="T78" s="255">
        <f t="shared" si="37"/>
        <v>0</v>
      </c>
      <c r="U78" s="255">
        <f t="shared" si="37"/>
        <v>0</v>
      </c>
      <c r="V78" s="255">
        <f t="shared" si="37"/>
        <v>0</v>
      </c>
      <c r="W78" s="255">
        <f t="shared" si="37"/>
        <v>0</v>
      </c>
      <c r="X78" s="255">
        <f t="shared" si="37"/>
        <v>0</v>
      </c>
      <c r="Y78" s="255">
        <f t="shared" si="37"/>
        <v>0</v>
      </c>
      <c r="Z78" s="255">
        <f t="shared" si="37"/>
        <v>0</v>
      </c>
      <c r="AA78" s="255">
        <f t="shared" si="37"/>
        <v>0</v>
      </c>
      <c r="AB78" s="255">
        <f t="shared" si="37"/>
        <v>0</v>
      </c>
      <c r="AC78" s="247">
        <f t="shared" ref="AC78" si="38">SUM(Q78:AB78)</f>
        <v>0</v>
      </c>
      <c r="AD78" s="292" t="b">
        <f t="shared" ref="AD78:AD79" si="39">AC78=P78</f>
        <v>1</v>
      </c>
      <c r="AE78" s="89"/>
    </row>
    <row r="79" spans="1:31" ht="12.75" customHeight="1" thickBot="1" x14ac:dyDescent="0.3">
      <c r="B79" s="286" t="s">
        <v>1062</v>
      </c>
      <c r="C79" s="424">
        <f>SUM(C64:C78)</f>
        <v>-10633.363333333335</v>
      </c>
      <c r="D79" s="392">
        <f>+C79-E79</f>
        <v>-4265.8633333333355</v>
      </c>
      <c r="E79" s="420">
        <f>SUM(E64:E78)</f>
        <v>-6367.4999999999991</v>
      </c>
      <c r="F79" s="424">
        <f>SUM(F64:F78)</f>
        <v>-35354.246666666666</v>
      </c>
      <c r="G79" s="392">
        <f>+F79-H79</f>
        <v>-35263.246666666666</v>
      </c>
      <c r="H79" s="420">
        <f>SUM(H64:H78)</f>
        <v>-91</v>
      </c>
      <c r="I79" s="420">
        <f>SUM(I64:I78)</f>
        <v>-31837.49666666667</v>
      </c>
      <c r="J79" s="287"/>
      <c r="K79" s="221"/>
      <c r="L79" s="222"/>
      <c r="M79" s="244"/>
      <c r="N79" s="266"/>
      <c r="O79" s="309" t="s">
        <v>1062</v>
      </c>
      <c r="P79" s="356">
        <f>SUM(P63:P78)</f>
        <v>-76410</v>
      </c>
      <c r="Q79" s="356">
        <f t="shared" ref="Q79:AC79" si="40">SUM(Q63:Q78)</f>
        <v>-6367.4999999999991</v>
      </c>
      <c r="R79" s="356">
        <f t="shared" si="40"/>
        <v>-6367.4999999999991</v>
      </c>
      <c r="S79" s="356">
        <f t="shared" si="40"/>
        <v>-6367.4999999999991</v>
      </c>
      <c r="T79" s="356">
        <f t="shared" si="40"/>
        <v>-6367.4999999999991</v>
      </c>
      <c r="U79" s="356">
        <f t="shared" si="40"/>
        <v>-6367.4999999999991</v>
      </c>
      <c r="V79" s="356">
        <f t="shared" si="40"/>
        <v>-6367.4999999999991</v>
      </c>
      <c r="W79" s="356">
        <f t="shared" si="40"/>
        <v>-6367.4999999999991</v>
      </c>
      <c r="X79" s="356">
        <f t="shared" si="40"/>
        <v>-6367.4999999999991</v>
      </c>
      <c r="Y79" s="356">
        <f t="shared" si="40"/>
        <v>-6367.4999999999991</v>
      </c>
      <c r="Z79" s="356">
        <f t="shared" si="40"/>
        <v>-6367.4999999999991</v>
      </c>
      <c r="AA79" s="356">
        <f t="shared" si="40"/>
        <v>-6367.4999999999991</v>
      </c>
      <c r="AB79" s="356">
        <f t="shared" si="40"/>
        <v>-6367.4999999999991</v>
      </c>
      <c r="AC79" s="356">
        <f t="shared" si="40"/>
        <v>-76410</v>
      </c>
      <c r="AD79" s="357" t="b">
        <f t="shared" si="39"/>
        <v>1</v>
      </c>
      <c r="AE79" s="89"/>
    </row>
    <row r="80" spans="1:31" s="234" customFormat="1" ht="21.75" customHeight="1" thickBot="1" x14ac:dyDescent="0.35">
      <c r="A80" s="246"/>
      <c r="B80" s="327" t="s">
        <v>1056</v>
      </c>
      <c r="C80" s="411">
        <f>C56+C60+C79</f>
        <v>-24345.873333333333</v>
      </c>
      <c r="D80" s="411">
        <f>+C80-E80</f>
        <v>-7452.373333333333</v>
      </c>
      <c r="E80" s="411">
        <f>E56+E60+E79</f>
        <v>-16893.5</v>
      </c>
      <c r="F80" s="411">
        <f>F56+F60+F79</f>
        <v>-81029.216666666674</v>
      </c>
      <c r="G80" s="411">
        <f t="shared" si="23"/>
        <v>2585.2799999999988</v>
      </c>
      <c r="H80" s="411">
        <f t="shared" si="13"/>
        <v>3</v>
      </c>
      <c r="I80" s="412">
        <f>I56+I60+I79</f>
        <v>-83614.496666666673</v>
      </c>
      <c r="J80" s="352">
        <f>SUM(J48:J79)</f>
        <v>-204810</v>
      </c>
      <c r="K80" s="329">
        <f>SUBTOTAL(9,K48:K79)</f>
        <v>171346.12999999998</v>
      </c>
      <c r="L80" s="330">
        <f>SUBTOTAL(9,L48:L79)</f>
        <v>-246958.68</v>
      </c>
      <c r="M80" s="246"/>
      <c r="N80" s="265"/>
      <c r="O80" s="327" t="s">
        <v>1052</v>
      </c>
      <c r="P80" s="350">
        <f>P56+P60+P79</f>
        <v>-204810</v>
      </c>
      <c r="Q80" s="350">
        <f t="shared" ref="Q80:AC80" si="41">Q56+Q60+Q79</f>
        <v>-16442.5</v>
      </c>
      <c r="R80" s="350">
        <f t="shared" si="41"/>
        <v>-16442.5</v>
      </c>
      <c r="S80" s="350">
        <f t="shared" si="41"/>
        <v>-16442.5</v>
      </c>
      <c r="T80" s="350">
        <f t="shared" si="41"/>
        <v>-17393.5</v>
      </c>
      <c r="U80" s="350">
        <f t="shared" si="41"/>
        <v>-16893.5</v>
      </c>
      <c r="V80" s="350">
        <f t="shared" si="41"/>
        <v>-22540.5</v>
      </c>
      <c r="W80" s="350">
        <f t="shared" si="41"/>
        <v>-16442.5</v>
      </c>
      <c r="X80" s="350">
        <f t="shared" si="41"/>
        <v>-16442.5</v>
      </c>
      <c r="Y80" s="350">
        <f t="shared" si="41"/>
        <v>-16442.5</v>
      </c>
      <c r="Z80" s="350">
        <f t="shared" si="41"/>
        <v>-16442.5</v>
      </c>
      <c r="AA80" s="350">
        <f t="shared" si="41"/>
        <v>-16442.5</v>
      </c>
      <c r="AB80" s="350">
        <f t="shared" si="41"/>
        <v>-16442.5</v>
      </c>
      <c r="AC80" s="350">
        <f t="shared" si="41"/>
        <v>-204810</v>
      </c>
      <c r="AD80" s="352" t="b">
        <f>AC80=P80</f>
        <v>1</v>
      </c>
      <c r="AE80" s="233"/>
    </row>
    <row r="81" spans="2:31" ht="12.75" customHeight="1" thickBot="1" x14ac:dyDescent="0.25">
      <c r="B81" s="240"/>
      <c r="C81" s="425"/>
      <c r="D81" s="425"/>
      <c r="E81" s="425"/>
      <c r="F81" s="425"/>
      <c r="G81" s="425"/>
      <c r="H81" s="425"/>
      <c r="I81" s="425"/>
      <c r="J81" s="239"/>
      <c r="K81" s="241"/>
      <c r="L81" s="242"/>
      <c r="M81" s="244"/>
      <c r="N81" s="266"/>
      <c r="O81" s="240"/>
      <c r="P81" s="259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1"/>
      <c r="AD81" s="90"/>
      <c r="AE81" s="89"/>
    </row>
    <row r="82" spans="2:31" ht="12.75" customHeight="1" thickBot="1" x14ac:dyDescent="0.25">
      <c r="B82" s="372" t="s">
        <v>956</v>
      </c>
      <c r="C82" s="378">
        <f>C43+C80+C25</f>
        <v>12971.126666666663</v>
      </c>
      <c r="D82" s="378">
        <f>+C82-E82</f>
        <v>12732.033333333331</v>
      </c>
      <c r="E82" s="378">
        <f>E43+E80+E25</f>
        <v>239.09333333333234</v>
      </c>
      <c r="F82" s="378">
        <f>F43+F80+F25</f>
        <v>59250.483333333294</v>
      </c>
      <c r="G82" s="378">
        <f>+F82-I82</f>
        <v>3752.7599999999802</v>
      </c>
      <c r="H82" s="378">
        <f>+H80+H43</f>
        <v>3</v>
      </c>
      <c r="I82" s="378">
        <f>I43+I80+I25</f>
        <v>55497.723333333313</v>
      </c>
      <c r="J82" s="322">
        <f>J43+J80</f>
        <v>275190</v>
      </c>
      <c r="K82" s="235">
        <f>+K80+K43</f>
        <v>90617.339999999982</v>
      </c>
      <c r="L82" s="235">
        <f>+L80+L43</f>
        <v>-69081.960000000021</v>
      </c>
      <c r="M82" s="284"/>
      <c r="N82" s="244"/>
      <c r="O82" s="323" t="s">
        <v>956</v>
      </c>
      <c r="P82" s="321">
        <f>P43+P80+P25</f>
        <v>23690</v>
      </c>
      <c r="Q82" s="321">
        <f t="shared" ref="Q82:AC82" si="42">Q43+Q80+Q25</f>
        <v>-7734.1666666666679</v>
      </c>
      <c r="R82" s="321">
        <f t="shared" si="42"/>
        <v>65533.343333333323</v>
      </c>
      <c r="S82" s="321">
        <f t="shared" si="42"/>
        <v>7691.5433333333349</v>
      </c>
      <c r="T82" s="321">
        <f t="shared" si="42"/>
        <v>-6019.9666666666672</v>
      </c>
      <c r="U82" s="321">
        <f t="shared" si="42"/>
        <v>-3973.0366666666669</v>
      </c>
      <c r="V82" s="321">
        <f t="shared" si="42"/>
        <v>-10413.666666666668</v>
      </c>
      <c r="W82" s="321">
        <f t="shared" si="42"/>
        <v>-2815.6666666666679</v>
      </c>
      <c r="X82" s="321">
        <f t="shared" si="42"/>
        <v>-4315.6666666666679</v>
      </c>
      <c r="Y82" s="321">
        <f t="shared" si="42"/>
        <v>-4315.6666666666679</v>
      </c>
      <c r="Z82" s="321">
        <f t="shared" si="42"/>
        <v>-2815.6766666666663</v>
      </c>
      <c r="AA82" s="321">
        <f t="shared" si="42"/>
        <v>-4315.6866666666665</v>
      </c>
      <c r="AB82" s="321">
        <f t="shared" si="42"/>
        <v>-2815.6866666666665</v>
      </c>
      <c r="AC82" s="321">
        <f t="shared" si="42"/>
        <v>23690.000000000058</v>
      </c>
      <c r="AD82" s="352">
        <f>AC82-P82</f>
        <v>5.8207660913467407E-11</v>
      </c>
      <c r="AE82" s="89"/>
    </row>
    <row r="83" spans="2:31" ht="12.75" customHeight="1" x14ac:dyDescent="0.2">
      <c r="B83" s="90"/>
      <c r="C83" s="426"/>
      <c r="D83" s="426"/>
      <c r="E83" s="426"/>
      <c r="F83" s="426"/>
      <c r="G83" s="426"/>
      <c r="H83" s="426"/>
      <c r="I83" s="426"/>
      <c r="J83" s="90"/>
      <c r="K83" s="229"/>
      <c r="L83" s="90"/>
      <c r="M83" s="89"/>
      <c r="N83" s="230"/>
      <c r="O83" s="230"/>
      <c r="P83" s="258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19"/>
      <c r="AD83" s="89"/>
      <c r="AE83" s="89"/>
    </row>
    <row r="84" spans="2:31" ht="12.75" customHeight="1" x14ac:dyDescent="0.2">
      <c r="B84" s="89"/>
      <c r="C84" s="427" t="b">
        <f>ROUND(C82,0)=ROUND(C85,0)</f>
        <v>1</v>
      </c>
      <c r="D84" s="427"/>
      <c r="E84" s="427"/>
      <c r="F84" s="427" t="b">
        <f>ROUND(F82,0)=ROUND(F85,0)</f>
        <v>0</v>
      </c>
      <c r="G84" s="428"/>
      <c r="H84" s="428"/>
      <c r="I84" s="428"/>
      <c r="J84" s="89"/>
      <c r="K84" s="228"/>
      <c r="L84" s="89"/>
      <c r="M84" s="89"/>
      <c r="N84" s="230"/>
      <c r="O84" s="89"/>
      <c r="P84" s="87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262"/>
      <c r="AC84" s="219"/>
      <c r="AD84" s="89"/>
      <c r="AE84" s="89"/>
    </row>
    <row r="85" spans="2:31" ht="12.75" customHeight="1" x14ac:dyDescent="0.2">
      <c r="B85" s="89"/>
      <c r="C85" s="379">
        <f>-'TB (2) - May'!D113</f>
        <v>12971.140000000003</v>
      </c>
      <c r="D85" s="379"/>
      <c r="E85" s="381"/>
      <c r="F85" s="379">
        <f>-TB!D113</f>
        <v>59250.510000000031</v>
      </c>
      <c r="G85" s="380"/>
      <c r="H85" s="380"/>
      <c r="I85" s="429"/>
      <c r="J85" s="90"/>
      <c r="K85" s="228"/>
      <c r="L85" s="90"/>
      <c r="M85" s="89"/>
      <c r="N85" s="89"/>
      <c r="O85" s="89"/>
      <c r="P85" s="87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219"/>
      <c r="AD85" s="89"/>
      <c r="AE85" s="89"/>
    </row>
    <row r="86" spans="2:31" ht="12.75" customHeight="1" x14ac:dyDescent="0.2">
      <c r="B86" s="230"/>
      <c r="C86" s="379">
        <f>ROUND(C82-C85,1)</f>
        <v>0</v>
      </c>
      <c r="D86" s="379"/>
      <c r="E86" s="381"/>
      <c r="F86" s="379">
        <f>ROUND(F82-F85,1)</f>
        <v>0</v>
      </c>
      <c r="G86" s="380"/>
      <c r="H86" s="380"/>
      <c r="I86" s="429"/>
      <c r="J86" s="89"/>
      <c r="K86" s="228"/>
      <c r="L86" s="89"/>
      <c r="M86" s="89"/>
      <c r="N86" s="89"/>
      <c r="O86" s="89"/>
      <c r="P86" s="87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219"/>
      <c r="AD86" s="89"/>
      <c r="AE86" s="89"/>
    </row>
    <row r="87" spans="2:31" ht="12.75" customHeight="1" x14ac:dyDescent="0.2">
      <c r="B87" s="89"/>
      <c r="C87" s="428"/>
      <c r="D87" s="428"/>
      <c r="E87" s="428"/>
      <c r="F87" s="428"/>
      <c r="G87" s="428"/>
      <c r="H87" s="428"/>
      <c r="I87" s="428"/>
      <c r="J87" s="89"/>
      <c r="K87" s="228"/>
      <c r="L87" s="89"/>
      <c r="M87" s="89"/>
      <c r="N87" s="230"/>
      <c r="O87" s="230"/>
      <c r="P87" s="87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2:31" ht="12.75" customHeight="1" x14ac:dyDescent="0.2">
      <c r="B88" s="89"/>
      <c r="C88" s="428"/>
      <c r="D88" s="428"/>
      <c r="E88" s="428"/>
      <c r="F88" s="428"/>
      <c r="G88" s="428"/>
      <c r="H88" s="428"/>
      <c r="I88" s="428"/>
      <c r="J88" s="93"/>
      <c r="K88" s="228"/>
      <c r="L88" s="93"/>
      <c r="M88" s="89"/>
      <c r="AC88" s="84"/>
    </row>
    <row r="89" spans="2:31" ht="12.75" customHeight="1" x14ac:dyDescent="0.2">
      <c r="B89" s="230"/>
      <c r="C89" s="428"/>
      <c r="D89" s="428"/>
      <c r="E89" s="428"/>
      <c r="F89" s="428"/>
      <c r="G89" s="428"/>
      <c r="H89" s="428"/>
      <c r="I89" s="428"/>
      <c r="J89" s="89"/>
      <c r="K89" s="89"/>
      <c r="L89" s="89"/>
      <c r="M89" s="89"/>
      <c r="AC89" s="84"/>
    </row>
    <row r="90" spans="2:31" ht="12.75" customHeight="1" x14ac:dyDescent="0.2">
      <c r="B90" s="89"/>
      <c r="C90" s="428"/>
      <c r="D90" s="428"/>
      <c r="E90" s="428"/>
      <c r="F90" s="428"/>
      <c r="G90" s="428"/>
      <c r="H90" s="428"/>
      <c r="I90" s="428"/>
      <c r="J90" s="89"/>
      <c r="K90" s="89"/>
      <c r="L90" s="89"/>
      <c r="M90" s="89"/>
      <c r="AC90" s="84"/>
    </row>
    <row r="91" spans="2:31" ht="12.75" customHeight="1" x14ac:dyDescent="0.2">
      <c r="B91" s="230"/>
      <c r="C91" s="428"/>
      <c r="D91" s="428"/>
      <c r="E91" s="428"/>
      <c r="F91" s="428"/>
      <c r="G91" s="428"/>
      <c r="H91" s="428"/>
      <c r="I91" s="428"/>
      <c r="J91" s="89"/>
      <c r="K91" s="89"/>
      <c r="L91" s="89"/>
      <c r="M91" s="89"/>
      <c r="AC91" s="84"/>
    </row>
    <row r="92" spans="2:31" ht="12.75" customHeight="1" x14ac:dyDescent="0.2">
      <c r="E92" s="428"/>
      <c r="J92" s="89"/>
      <c r="K92" s="84"/>
      <c r="L92" s="89"/>
      <c r="AC92" s="84"/>
    </row>
    <row r="93" spans="2:31" ht="12.75" customHeight="1" x14ac:dyDescent="0.2">
      <c r="F93" s="428"/>
      <c r="J93" s="89"/>
      <c r="K93" s="84"/>
      <c r="L93" s="89"/>
      <c r="AC93" s="84"/>
    </row>
    <row r="94" spans="2:31" ht="12.75" customHeight="1" x14ac:dyDescent="0.2">
      <c r="B94" s="91"/>
      <c r="J94" s="89"/>
      <c r="K94" s="84"/>
      <c r="L94" s="89"/>
      <c r="AC94" s="84"/>
    </row>
    <row r="95" spans="2:31" ht="12.75" customHeight="1" x14ac:dyDescent="0.2">
      <c r="J95" s="89"/>
      <c r="K95" s="84"/>
      <c r="L95" s="89"/>
      <c r="AC95" s="84"/>
    </row>
    <row r="96" spans="2:31" ht="12.75" customHeight="1" x14ac:dyDescent="0.2">
      <c r="B96" s="91"/>
      <c r="J96" s="89"/>
      <c r="K96" s="84"/>
      <c r="L96" s="89"/>
      <c r="AC96" s="84"/>
    </row>
    <row r="97" spans="2:29" ht="12.75" customHeight="1" x14ac:dyDescent="0.2">
      <c r="B97" s="91"/>
      <c r="J97" s="89"/>
      <c r="K97" s="84"/>
      <c r="L97" s="89"/>
      <c r="AC97" s="84"/>
    </row>
    <row r="98" spans="2:29" ht="12.75" customHeight="1" x14ac:dyDescent="0.2">
      <c r="B98" s="91"/>
      <c r="J98" s="89"/>
      <c r="K98" s="84"/>
      <c r="L98" s="89"/>
      <c r="AC98" s="84"/>
    </row>
    <row r="99" spans="2:29" ht="12.75" customHeight="1" x14ac:dyDescent="0.2">
      <c r="J99" s="89"/>
      <c r="K99" s="84"/>
      <c r="L99" s="89"/>
      <c r="AC99" s="84"/>
    </row>
    <row r="100" spans="2:29" ht="12.75" customHeight="1" x14ac:dyDescent="0.2">
      <c r="J100" s="89"/>
      <c r="K100" s="84"/>
      <c r="L100" s="89"/>
      <c r="AC100" s="84"/>
    </row>
    <row r="101" spans="2:29" ht="12.75" customHeight="1" x14ac:dyDescent="0.2">
      <c r="B101" s="91"/>
      <c r="K101" s="84"/>
      <c r="AC101" s="84"/>
    </row>
    <row r="102" spans="2:29" ht="12.75" customHeight="1" x14ac:dyDescent="0.2">
      <c r="K102" s="84"/>
      <c r="AC102" s="84"/>
    </row>
    <row r="103" spans="2:29" ht="12.75" customHeight="1" x14ac:dyDescent="0.2">
      <c r="B103" s="91"/>
      <c r="K103" s="84"/>
      <c r="AC103" s="84"/>
    </row>
    <row r="104" spans="2:29" ht="12.75" customHeight="1" x14ac:dyDescent="0.2">
      <c r="B104" s="91"/>
      <c r="AC104" s="84"/>
    </row>
    <row r="108" spans="2:29" ht="12.75" customHeight="1" x14ac:dyDescent="0.2">
      <c r="B108" s="91"/>
      <c r="AC108" s="84"/>
    </row>
    <row r="109" spans="2:29" ht="12.75" customHeight="1" x14ac:dyDescent="0.2">
      <c r="B109" s="91"/>
      <c r="AC109" s="84"/>
    </row>
    <row r="111" spans="2:29" ht="12.75" customHeight="1" x14ac:dyDescent="0.2">
      <c r="B111" s="91"/>
      <c r="K111" s="84"/>
      <c r="AC111" s="84"/>
    </row>
    <row r="112" spans="2:29" ht="12.75" customHeight="1" x14ac:dyDescent="0.2">
      <c r="B112" s="91"/>
      <c r="K112" s="84"/>
      <c r="AC112" s="84"/>
    </row>
  </sheetData>
  <mergeCells count="5">
    <mergeCell ref="J4:L4"/>
    <mergeCell ref="F4:I4"/>
    <mergeCell ref="O4:AD4"/>
    <mergeCell ref="AC5:AD5"/>
    <mergeCell ref="C4:E4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42" sqref="F42"/>
    </sheetView>
  </sheetViews>
  <sheetFormatPr defaultRowHeight="12.75" x14ac:dyDescent="0.2"/>
  <cols>
    <col min="1" max="1" width="14.85546875" bestFit="1" customWidth="1"/>
    <col min="2" max="2" width="10.140625" bestFit="1" customWidth="1"/>
    <col min="6" max="6" width="21.7109375" bestFit="1" customWidth="1"/>
    <col min="7" max="7" width="23.7109375" bestFit="1" customWidth="1"/>
    <col min="8" max="8" width="15.5703125" bestFit="1" customWidth="1"/>
    <col min="9" max="9" width="17.7109375" bestFit="1" customWidth="1"/>
    <col min="10" max="10" width="14.85546875" bestFit="1" customWidth="1"/>
  </cols>
  <sheetData>
    <row r="1" spans="1:10" ht="19.5" customHeight="1" x14ac:dyDescent="0.2">
      <c r="A1" s="183" t="s">
        <v>1023</v>
      </c>
      <c r="B1" s="184" t="s">
        <v>1024</v>
      </c>
      <c r="C1" s="184" t="s">
        <v>1025</v>
      </c>
      <c r="D1" s="184" t="s">
        <v>1026</v>
      </c>
      <c r="E1" s="185"/>
      <c r="F1" s="184" t="s">
        <v>1027</v>
      </c>
      <c r="G1" s="184" t="s">
        <v>1028</v>
      </c>
      <c r="H1" s="186" t="s">
        <v>1029</v>
      </c>
      <c r="I1" s="186" t="s">
        <v>1030</v>
      </c>
      <c r="J1" s="184" t="s">
        <v>1031</v>
      </c>
    </row>
    <row r="2" spans="1:10" ht="15" x14ac:dyDescent="0.25">
      <c r="A2" s="187">
        <v>42369</v>
      </c>
      <c r="B2" s="188">
        <v>761265</v>
      </c>
      <c r="C2" s="189"/>
      <c r="D2" s="189"/>
      <c r="E2" s="190"/>
      <c r="F2" s="191"/>
      <c r="G2" s="191"/>
      <c r="H2" s="191"/>
      <c r="I2" s="191"/>
      <c r="J2" s="192"/>
    </row>
    <row r="3" spans="1:10" x14ac:dyDescent="0.2">
      <c r="A3" s="193" t="s">
        <v>832</v>
      </c>
      <c r="B3" s="191">
        <v>3482.16</v>
      </c>
      <c r="C3" s="191"/>
      <c r="D3" s="191"/>
      <c r="E3" s="190"/>
      <c r="F3" s="191"/>
      <c r="G3" s="191"/>
      <c r="H3" s="191"/>
      <c r="I3" s="191"/>
      <c r="J3" s="80"/>
    </row>
    <row r="4" spans="1:10" x14ac:dyDescent="0.2">
      <c r="A4" s="193" t="s">
        <v>1032</v>
      </c>
      <c r="B4" s="191">
        <v>1.6</v>
      </c>
      <c r="C4" s="191"/>
      <c r="D4" s="191"/>
      <c r="E4" s="190"/>
      <c r="F4" s="191"/>
      <c r="G4" s="191"/>
      <c r="H4" s="191"/>
      <c r="I4" s="191"/>
      <c r="J4" s="80"/>
    </row>
    <row r="5" spans="1:10" ht="15" x14ac:dyDescent="0.25">
      <c r="A5" s="193" t="s">
        <v>832</v>
      </c>
      <c r="B5" s="194"/>
      <c r="C5" s="191">
        <v>-3482.16</v>
      </c>
      <c r="D5" s="191"/>
      <c r="E5" s="190"/>
      <c r="F5" s="195">
        <f>0.59*C5</f>
        <v>-2054.4743999999996</v>
      </c>
      <c r="G5" s="191"/>
      <c r="H5" s="195">
        <f>0.41*C5</f>
        <v>-1427.6855999999998</v>
      </c>
      <c r="I5" s="191"/>
      <c r="J5" s="80"/>
    </row>
    <row r="6" spans="1:10" ht="15" x14ac:dyDescent="0.25">
      <c r="A6" s="193" t="s">
        <v>1032</v>
      </c>
      <c r="B6" s="194"/>
      <c r="C6" s="191">
        <v>-1.6</v>
      </c>
      <c r="D6" s="191"/>
      <c r="E6" s="190"/>
      <c r="F6" s="195">
        <f>0.59*C6</f>
        <v>-0.94399999999999995</v>
      </c>
      <c r="G6" s="191"/>
      <c r="H6" s="195">
        <f>0.41*C6</f>
        <v>-0.65600000000000003</v>
      </c>
      <c r="I6" s="191"/>
      <c r="J6" s="80"/>
    </row>
    <row r="7" spans="1:10" ht="15" x14ac:dyDescent="0.25">
      <c r="A7" s="193" t="s">
        <v>1033</v>
      </c>
      <c r="B7" s="194"/>
      <c r="C7" s="191"/>
      <c r="D7" s="196">
        <v>-1453.33</v>
      </c>
      <c r="E7" s="190"/>
      <c r="F7" s="195"/>
      <c r="G7" s="196">
        <f>-0.59*D7</f>
        <v>857.46469999999988</v>
      </c>
      <c r="H7" s="195"/>
      <c r="I7" s="197">
        <f>-0.41*D7</f>
        <v>595.86529999999993</v>
      </c>
      <c r="J7" s="80"/>
    </row>
    <row r="8" spans="1:10" ht="15" x14ac:dyDescent="0.25">
      <c r="A8" s="193" t="s">
        <v>1034</v>
      </c>
      <c r="B8" s="194"/>
      <c r="C8" s="198">
        <v>2008.33</v>
      </c>
      <c r="D8" s="191"/>
      <c r="E8" s="190"/>
      <c r="F8" s="195">
        <f>-0.59*C8</f>
        <v>-1184.9146999999998</v>
      </c>
      <c r="G8" s="191"/>
      <c r="H8" s="195"/>
      <c r="I8" s="191"/>
      <c r="J8" s="198">
        <f>-0.41*C8</f>
        <v>-823.41529999999989</v>
      </c>
    </row>
    <row r="9" spans="1:10" ht="15" x14ac:dyDescent="0.25">
      <c r="A9" s="199">
        <v>42460</v>
      </c>
      <c r="B9" s="200">
        <f>SUM(B2:D8)</f>
        <v>761820</v>
      </c>
      <c r="C9" s="201"/>
      <c r="D9" s="201"/>
      <c r="E9" s="185"/>
      <c r="F9" s="202"/>
      <c r="G9" s="202">
        <v>142.91</v>
      </c>
      <c r="H9" s="202"/>
      <c r="I9" s="202">
        <v>99.31</v>
      </c>
      <c r="J9" s="203"/>
    </row>
    <row r="10" spans="1:10" ht="15" x14ac:dyDescent="0.25">
      <c r="A10" s="193" t="s">
        <v>832</v>
      </c>
      <c r="B10" s="191">
        <v>4567.41</v>
      </c>
      <c r="C10" s="191"/>
      <c r="D10" s="191"/>
      <c r="E10" s="190"/>
      <c r="F10" s="195"/>
      <c r="G10" s="204"/>
      <c r="H10" s="195"/>
      <c r="I10" s="204"/>
      <c r="J10" s="80"/>
    </row>
    <row r="11" spans="1:10" ht="15" x14ac:dyDescent="0.25">
      <c r="A11" s="193" t="s">
        <v>1032</v>
      </c>
      <c r="B11" s="191">
        <v>1.95</v>
      </c>
      <c r="C11" s="191"/>
      <c r="D11" s="191"/>
      <c r="E11" s="190"/>
      <c r="F11" s="195"/>
      <c r="G11" s="204"/>
      <c r="H11" s="195"/>
      <c r="I11" s="204"/>
      <c r="J11" s="80"/>
    </row>
    <row r="12" spans="1:10" ht="15" x14ac:dyDescent="0.25">
      <c r="A12" s="193" t="s">
        <v>832</v>
      </c>
      <c r="B12" s="191"/>
      <c r="C12" s="191">
        <v>-4519.96</v>
      </c>
      <c r="D12" s="191"/>
      <c r="E12" s="190"/>
      <c r="F12" s="195">
        <f>0.59*C12</f>
        <v>-2666.7763999999997</v>
      </c>
      <c r="G12" s="204"/>
      <c r="H12" s="195">
        <f>0.41*C12</f>
        <v>-1853.1835999999998</v>
      </c>
      <c r="I12" s="204"/>
      <c r="J12" s="80"/>
    </row>
    <row r="13" spans="1:10" ht="15" x14ac:dyDescent="0.25">
      <c r="A13" s="193" t="s">
        <v>1032</v>
      </c>
      <c r="B13" s="191"/>
      <c r="C13" s="191">
        <v>-1.95</v>
      </c>
      <c r="D13" s="191"/>
      <c r="E13" s="190"/>
      <c r="F13" s="195">
        <f>0.59*C13</f>
        <v>-1.1504999999999999</v>
      </c>
      <c r="G13" s="204"/>
      <c r="H13" s="195">
        <f>0.41*C13</f>
        <v>-0.79949999999999999</v>
      </c>
      <c r="I13" s="204"/>
      <c r="J13" s="80"/>
    </row>
    <row r="14" spans="1:10" ht="15" x14ac:dyDescent="0.25">
      <c r="A14" s="193" t="s">
        <v>1033</v>
      </c>
      <c r="B14" s="191"/>
      <c r="C14" s="191"/>
      <c r="D14" s="205">
        <v>-1438.69</v>
      </c>
      <c r="E14" s="190"/>
      <c r="F14" s="195"/>
      <c r="G14" s="195">
        <f>-0.59*D14</f>
        <v>848.82709999999997</v>
      </c>
      <c r="H14" s="195"/>
      <c r="I14" s="195">
        <f>-0.41*D14</f>
        <v>589.86289999999997</v>
      </c>
      <c r="J14" s="80"/>
    </row>
    <row r="15" spans="1:10" ht="15" x14ac:dyDescent="0.25">
      <c r="A15" s="193" t="s">
        <v>1034</v>
      </c>
      <c r="B15" s="191"/>
      <c r="C15" s="198">
        <v>8206.24</v>
      </c>
      <c r="D15" s="191"/>
      <c r="E15" s="190"/>
      <c r="F15" s="195">
        <f>-0.59*C15</f>
        <v>-4841.6815999999999</v>
      </c>
      <c r="G15" s="204"/>
      <c r="H15" s="195"/>
      <c r="I15" s="195"/>
      <c r="J15" s="198">
        <f>-0.41*C15</f>
        <v>-3364.5583999999999</v>
      </c>
    </row>
    <row r="16" spans="1:10" ht="15" x14ac:dyDescent="0.25">
      <c r="A16" s="199">
        <v>42551</v>
      </c>
      <c r="B16" s="200">
        <f>SUM(B9:D15)</f>
        <v>768635.00000000012</v>
      </c>
      <c r="C16" s="201"/>
      <c r="D16" s="201"/>
      <c r="E16" s="185"/>
      <c r="F16" s="202"/>
      <c r="G16" s="206"/>
      <c r="H16" s="202"/>
      <c r="I16" s="202"/>
      <c r="J16" s="203"/>
    </row>
    <row r="17" spans="1:10" ht="15" x14ac:dyDescent="0.25">
      <c r="A17" s="193" t="s">
        <v>832</v>
      </c>
      <c r="B17" s="191">
        <v>6593.05</v>
      </c>
      <c r="C17" s="191"/>
      <c r="D17" s="191"/>
      <c r="E17" s="190"/>
      <c r="F17" s="195"/>
      <c r="G17" s="204"/>
      <c r="H17" s="195"/>
      <c r="I17" s="195"/>
      <c r="J17" s="80"/>
    </row>
    <row r="18" spans="1:10" ht="15" x14ac:dyDescent="0.25">
      <c r="A18" s="193" t="s">
        <v>1032</v>
      </c>
      <c r="B18" s="191">
        <v>2.94</v>
      </c>
      <c r="C18" s="191"/>
      <c r="D18" s="191"/>
      <c r="E18" s="190"/>
      <c r="F18" s="195"/>
      <c r="G18" s="204"/>
      <c r="H18" s="195"/>
      <c r="I18" s="195"/>
      <c r="J18" s="80"/>
    </row>
    <row r="19" spans="1:10" ht="15" x14ac:dyDescent="0.25">
      <c r="A19" s="193" t="s">
        <v>832</v>
      </c>
      <c r="B19" s="191"/>
      <c r="C19" s="191">
        <v>-6470.28</v>
      </c>
      <c r="D19" s="191"/>
      <c r="E19" s="190"/>
      <c r="F19" s="195">
        <f>0.59*C19</f>
        <v>-3817.4651999999996</v>
      </c>
      <c r="G19" s="204"/>
      <c r="H19" s="195">
        <f>0.41*C19</f>
        <v>-2652.8147999999997</v>
      </c>
      <c r="I19" s="195"/>
      <c r="J19" s="80"/>
    </row>
    <row r="20" spans="1:10" ht="15" x14ac:dyDescent="0.25">
      <c r="A20" s="193" t="s">
        <v>1032</v>
      </c>
      <c r="B20" s="191"/>
      <c r="C20" s="191">
        <v>-2.94</v>
      </c>
      <c r="D20" s="191"/>
      <c r="E20" s="190"/>
      <c r="F20" s="195">
        <f>0.59*C20</f>
        <v>-1.7345999999999999</v>
      </c>
      <c r="G20" s="204"/>
      <c r="H20" s="195">
        <f>0.41*C20</f>
        <v>-1.2053999999999998</v>
      </c>
      <c r="I20" s="195"/>
      <c r="J20" s="80"/>
    </row>
    <row r="21" spans="1:10" ht="15" x14ac:dyDescent="0.25">
      <c r="A21" s="193" t="s">
        <v>1033</v>
      </c>
      <c r="B21" s="191"/>
      <c r="C21" s="191"/>
      <c r="D21" s="205">
        <v>-1439.67</v>
      </c>
      <c r="E21" s="190"/>
      <c r="F21" s="195"/>
      <c r="G21" s="195">
        <f>-0.59*D21</f>
        <v>849.40530000000001</v>
      </c>
      <c r="H21" s="195"/>
      <c r="I21" s="195">
        <f>-0.41*D21</f>
        <v>590.26469999999995</v>
      </c>
      <c r="J21" s="80"/>
    </row>
    <row r="22" spans="1:10" ht="15" x14ac:dyDescent="0.25">
      <c r="A22" s="193" t="s">
        <v>1034</v>
      </c>
      <c r="B22" s="191"/>
      <c r="C22" s="198">
        <v>48642.9</v>
      </c>
      <c r="D22" s="191"/>
      <c r="E22" s="190"/>
      <c r="F22" s="195">
        <f>-0.59*C22</f>
        <v>-28699.310999999998</v>
      </c>
      <c r="G22" s="204"/>
      <c r="H22" s="195"/>
      <c r="I22" s="195"/>
      <c r="J22" s="198">
        <f>-0.41*C22</f>
        <v>-19943.589</v>
      </c>
    </row>
    <row r="23" spans="1:10" ht="15" x14ac:dyDescent="0.25">
      <c r="A23" s="199">
        <v>42643</v>
      </c>
      <c r="B23" s="200">
        <f>SUM(B16:D22)</f>
        <v>815961.00000000012</v>
      </c>
      <c r="C23" s="201"/>
      <c r="D23" s="201"/>
      <c r="E23" s="185"/>
      <c r="F23" s="202"/>
      <c r="G23" s="206"/>
      <c r="H23" s="202"/>
      <c r="I23" s="202"/>
      <c r="J23" s="203"/>
    </row>
    <row r="24" spans="1:10" ht="15" x14ac:dyDescent="0.25">
      <c r="A24" s="193" t="s">
        <v>832</v>
      </c>
      <c r="B24" s="191">
        <v>8683.9</v>
      </c>
      <c r="C24" s="191"/>
      <c r="D24" s="191"/>
      <c r="E24" s="190"/>
      <c r="F24" s="195"/>
      <c r="G24" s="204"/>
      <c r="H24" s="195"/>
      <c r="I24" s="195"/>
      <c r="J24" s="80"/>
    </row>
    <row r="25" spans="1:10" ht="15" x14ac:dyDescent="0.25">
      <c r="A25" s="193" t="s">
        <v>1032</v>
      </c>
      <c r="B25" s="191"/>
      <c r="C25" s="191"/>
      <c r="D25" s="191"/>
      <c r="E25" s="190"/>
      <c r="F25" s="195"/>
      <c r="G25" s="204"/>
      <c r="H25" s="195"/>
      <c r="I25" s="195"/>
      <c r="J25" s="80"/>
    </row>
    <row r="26" spans="1:10" ht="15" x14ac:dyDescent="0.25">
      <c r="A26" s="193" t="s">
        <v>832</v>
      </c>
      <c r="B26" s="191"/>
      <c r="C26" s="191">
        <v>-8517.85</v>
      </c>
      <c r="D26" s="191"/>
      <c r="E26" s="190"/>
      <c r="F26" s="195">
        <f>0.59*C26</f>
        <v>-5025.5315000000001</v>
      </c>
      <c r="G26" s="204"/>
      <c r="H26" s="195">
        <f>0.41*C26</f>
        <v>-3492.3184999999999</v>
      </c>
      <c r="I26" s="195"/>
      <c r="J26" s="80"/>
    </row>
    <row r="27" spans="1:10" ht="15" x14ac:dyDescent="0.25">
      <c r="A27" s="193" t="s">
        <v>1032</v>
      </c>
      <c r="B27" s="191"/>
      <c r="C27" s="191"/>
      <c r="D27" s="191"/>
      <c r="E27" s="190"/>
      <c r="F27" s="195"/>
      <c r="G27" s="204"/>
      <c r="H27" s="195">
        <f>0.41*D27</f>
        <v>0</v>
      </c>
      <c r="I27" s="195"/>
      <c r="J27" s="80"/>
    </row>
    <row r="28" spans="1:10" ht="15" x14ac:dyDescent="0.25">
      <c r="A28" s="193" t="s">
        <v>1033</v>
      </c>
      <c r="B28" s="191"/>
      <c r="C28" s="191"/>
      <c r="D28" s="205">
        <v>-1514.85</v>
      </c>
      <c r="E28" s="190"/>
      <c r="F28" s="195"/>
      <c r="G28" s="195">
        <f>-0.59*D28</f>
        <v>893.76149999999996</v>
      </c>
      <c r="H28" s="195"/>
      <c r="I28" s="195">
        <f>-0.41*D28</f>
        <v>621.08849999999995</v>
      </c>
      <c r="J28" s="80"/>
    </row>
    <row r="29" spans="1:10" ht="15" x14ac:dyDescent="0.25">
      <c r="A29" s="193" t="s">
        <v>1034</v>
      </c>
      <c r="B29" s="191"/>
      <c r="C29" s="198">
        <v>21575.8</v>
      </c>
      <c r="D29" s="191"/>
      <c r="E29" s="190"/>
      <c r="F29" s="195">
        <f>-0.59*C29</f>
        <v>-12729.722</v>
      </c>
      <c r="G29" s="204"/>
      <c r="H29" s="195"/>
      <c r="I29" s="195"/>
      <c r="J29" s="198">
        <f>-0.41*C29</f>
        <v>-8846.0779999999995</v>
      </c>
    </row>
    <row r="30" spans="1:10" ht="15" x14ac:dyDescent="0.25">
      <c r="A30" s="199">
        <v>42735</v>
      </c>
      <c r="B30" s="200">
        <f>SUM(B23:D29)</f>
        <v>836188.00000000023</v>
      </c>
      <c r="C30" s="201"/>
      <c r="D30" s="201"/>
      <c r="E30" s="185"/>
      <c r="F30" s="184"/>
      <c r="G30" s="206"/>
      <c r="H30" s="201"/>
      <c r="I30" s="202"/>
      <c r="J30" s="203"/>
    </row>
    <row r="31" spans="1:10" ht="15" x14ac:dyDescent="0.25">
      <c r="A31" s="207" t="s">
        <v>832</v>
      </c>
      <c r="B31" s="208">
        <v>3633.11</v>
      </c>
      <c r="C31" s="208"/>
      <c r="D31" s="208"/>
      <c r="E31" s="209"/>
      <c r="F31" s="208"/>
      <c r="G31" s="204"/>
      <c r="H31" s="210"/>
      <c r="I31" s="195"/>
      <c r="J31" s="211"/>
    </row>
    <row r="32" spans="1:10" ht="15" x14ac:dyDescent="0.25">
      <c r="A32" s="207" t="s">
        <v>1032</v>
      </c>
      <c r="B32" s="208"/>
      <c r="C32" s="208"/>
      <c r="D32" s="208"/>
      <c r="E32" s="209"/>
      <c r="F32" s="208"/>
      <c r="G32" s="204"/>
      <c r="H32" s="210"/>
      <c r="I32" s="195"/>
      <c r="J32" s="211"/>
    </row>
    <row r="33" spans="1:10" ht="15" x14ac:dyDescent="0.25">
      <c r="A33" s="207" t="s">
        <v>832</v>
      </c>
      <c r="B33" s="208"/>
      <c r="C33" s="208">
        <v>-3633.11</v>
      </c>
      <c r="D33" s="208"/>
      <c r="E33" s="209"/>
      <c r="F33" s="208">
        <f>0.59*C33</f>
        <v>-2143.5349000000001</v>
      </c>
      <c r="G33" s="204"/>
      <c r="H33" s="212">
        <f>0.41*C33</f>
        <v>-1489.5751</v>
      </c>
      <c r="I33" s="195"/>
      <c r="J33" s="211"/>
    </row>
    <row r="34" spans="1:10" ht="15" x14ac:dyDescent="0.25">
      <c r="A34" s="207" t="s">
        <v>1032</v>
      </c>
      <c r="B34" s="208"/>
      <c r="C34" s="208"/>
      <c r="D34" s="208"/>
      <c r="E34" s="209"/>
      <c r="F34" s="208"/>
      <c r="G34" s="204"/>
      <c r="H34" s="210">
        <f>0.41*D34</f>
        <v>0</v>
      </c>
      <c r="I34" s="195"/>
      <c r="J34" s="211"/>
    </row>
    <row r="35" spans="1:10" ht="15" x14ac:dyDescent="0.25">
      <c r="A35" s="207" t="s">
        <v>1033</v>
      </c>
      <c r="B35" s="208"/>
      <c r="C35" s="208"/>
      <c r="D35" s="205">
        <v>-1539.86</v>
      </c>
      <c r="E35" s="209"/>
      <c r="F35" s="208"/>
      <c r="G35" s="195">
        <f>-0.59*D35</f>
        <v>908.51739999999984</v>
      </c>
      <c r="H35" s="208"/>
      <c r="I35" s="195">
        <f>-0.41*D35</f>
        <v>631.34259999999995</v>
      </c>
      <c r="J35" s="211"/>
    </row>
    <row r="36" spans="1:10" x14ac:dyDescent="0.2">
      <c r="A36" s="207" t="s">
        <v>1034</v>
      </c>
      <c r="B36" s="208"/>
      <c r="C36" s="208">
        <v>27161.86</v>
      </c>
      <c r="D36" s="208"/>
      <c r="E36" s="209"/>
      <c r="F36" s="208">
        <f>-0.59*C36</f>
        <v>-16025.4974</v>
      </c>
      <c r="G36" s="208"/>
      <c r="H36" s="208"/>
      <c r="I36" s="208"/>
      <c r="J36" s="208">
        <f>-0.41*C36</f>
        <v>-11136.3626</v>
      </c>
    </row>
    <row r="37" spans="1:10" ht="15" x14ac:dyDescent="0.25">
      <c r="A37" s="213">
        <v>42825</v>
      </c>
      <c r="B37" s="214">
        <f>SUM(B30:D36)</f>
        <v>861810.00000000023</v>
      </c>
      <c r="C37" s="215"/>
      <c r="D37" s="215"/>
      <c r="E37" s="216"/>
      <c r="F37" s="217"/>
      <c r="G37" s="217"/>
      <c r="H37" s="217"/>
      <c r="I37" s="217"/>
      <c r="J37" s="218"/>
    </row>
    <row r="38" spans="1:10" ht="15" x14ac:dyDescent="0.25">
      <c r="A38" s="187"/>
      <c r="B38" s="188"/>
      <c r="C38" s="189"/>
      <c r="D38" s="189"/>
      <c r="E38" s="190"/>
      <c r="F38" s="191"/>
      <c r="G38" s="191"/>
      <c r="H38" s="191"/>
      <c r="I38" s="191"/>
      <c r="J38" s="1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15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2" sqref="D2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42578125" customWidth="1"/>
    <col min="5" max="5" width="15.42578125" style="80" customWidth="1"/>
    <col min="6" max="6" width="11.85546875" style="80" bestFit="1" customWidth="1"/>
    <col min="7" max="7" width="6.42578125" style="80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442">
        <f>'Man Accs '!B3</f>
        <v>42886</v>
      </c>
      <c r="C2" s="443"/>
      <c r="E2" s="442">
        <v>42735</v>
      </c>
      <c r="F2" s="443"/>
      <c r="H2" s="442">
        <v>42369</v>
      </c>
      <c r="I2" s="443"/>
    </row>
    <row r="3" spans="1:12" ht="10.5" customHeight="1" x14ac:dyDescent="0.2">
      <c r="A3" s="43"/>
      <c r="B3" s="173"/>
      <c r="C3" s="174"/>
      <c r="D3" s="95"/>
      <c r="E3" s="173"/>
      <c r="F3" s="174"/>
      <c r="G3" s="95"/>
      <c r="H3" s="173"/>
      <c r="I3" s="174"/>
    </row>
    <row r="4" spans="1:12" x14ac:dyDescent="0.2">
      <c r="A4" s="44" t="s">
        <v>153</v>
      </c>
      <c r="B4" s="173"/>
      <c r="C4" s="174"/>
      <c r="D4" s="95"/>
      <c r="E4" s="173"/>
      <c r="F4" s="174"/>
      <c r="G4" s="95"/>
      <c r="H4" s="173"/>
      <c r="I4" s="174"/>
    </row>
    <row r="5" spans="1:12" x14ac:dyDescent="0.2">
      <c r="A5" s="43"/>
      <c r="B5" s="173"/>
      <c r="C5" s="174"/>
      <c r="D5" s="96"/>
      <c r="E5" s="173"/>
      <c r="F5" s="174"/>
      <c r="G5" s="96"/>
      <c r="H5" s="173"/>
      <c r="I5" s="174"/>
    </row>
    <row r="6" spans="1:12" x14ac:dyDescent="0.2">
      <c r="A6" s="43" t="s">
        <v>154</v>
      </c>
      <c r="B6" s="175"/>
      <c r="C6" s="176">
        <f>+TB!D5</f>
        <v>861810</v>
      </c>
      <c r="D6" s="96"/>
      <c r="E6" s="175"/>
      <c r="F6" s="176">
        <v>836188</v>
      </c>
      <c r="G6" s="96"/>
      <c r="H6" s="175"/>
      <c r="I6" s="176">
        <v>761265</v>
      </c>
    </row>
    <row r="7" spans="1:12" x14ac:dyDescent="0.2">
      <c r="A7" s="43"/>
      <c r="B7" s="175"/>
      <c r="C7" s="176"/>
      <c r="D7" s="96"/>
      <c r="E7" s="175"/>
      <c r="F7" s="176"/>
      <c r="G7" s="96"/>
      <c r="H7" s="175"/>
      <c r="I7" s="176"/>
    </row>
    <row r="8" spans="1:12" x14ac:dyDescent="0.2">
      <c r="A8" s="44" t="s">
        <v>155</v>
      </c>
      <c r="B8" s="175"/>
      <c r="C8" s="176"/>
      <c r="D8" s="96"/>
      <c r="E8" s="175"/>
      <c r="F8" s="176"/>
      <c r="G8" s="96"/>
      <c r="H8" s="175"/>
      <c r="I8" s="176"/>
    </row>
    <row r="9" spans="1:12" s="80" customFormat="1" x14ac:dyDescent="0.2">
      <c r="A9" s="44"/>
      <c r="B9" s="175"/>
      <c r="C9" s="176"/>
      <c r="D9" s="96"/>
      <c r="E9" s="175"/>
      <c r="F9" s="176"/>
      <c r="G9" s="96"/>
      <c r="H9" s="175"/>
      <c r="I9" s="176"/>
    </row>
    <row r="10" spans="1:12" x14ac:dyDescent="0.2">
      <c r="A10" s="43" t="s">
        <v>781</v>
      </c>
      <c r="B10" s="175">
        <f>TB!D6</f>
        <v>0</v>
      </c>
      <c r="C10" s="176"/>
      <c r="D10" s="96"/>
      <c r="E10" s="175"/>
      <c r="F10" s="176"/>
      <c r="G10" s="96"/>
      <c r="H10" s="175">
        <v>6173.17</v>
      </c>
      <c r="I10" s="176"/>
    </row>
    <row r="11" spans="1:12" s="80" customFormat="1" x14ac:dyDescent="0.2">
      <c r="A11" s="43" t="s">
        <v>806</v>
      </c>
      <c r="B11" s="175">
        <f>TB!D25</f>
        <v>0</v>
      </c>
      <c r="C11" s="176"/>
      <c r="D11" s="96"/>
      <c r="E11" s="175">
        <v>5472.56</v>
      </c>
      <c r="F11" s="176"/>
      <c r="G11" s="96"/>
      <c r="H11" s="175">
        <v>-4023.73</v>
      </c>
      <c r="I11" s="176"/>
    </row>
    <row r="12" spans="1:12" x14ac:dyDescent="0.2">
      <c r="A12" s="43" t="s">
        <v>817</v>
      </c>
      <c r="B12" s="175">
        <f>TB!D15</f>
        <v>25769</v>
      </c>
      <c r="C12" s="176"/>
      <c r="D12" s="96"/>
      <c r="E12" s="175">
        <v>11048.25</v>
      </c>
      <c r="F12" s="176"/>
      <c r="G12" s="96"/>
      <c r="H12" s="175">
        <v>236.79</v>
      </c>
      <c r="I12" s="176"/>
    </row>
    <row r="13" spans="1:12" s="80" customFormat="1" x14ac:dyDescent="0.2">
      <c r="A13" s="43" t="s">
        <v>1019</v>
      </c>
      <c r="B13" s="175"/>
      <c r="C13" s="176"/>
      <c r="D13" s="96"/>
      <c r="E13" s="175">
        <v>8517.85</v>
      </c>
      <c r="F13" s="176"/>
      <c r="G13" s="96"/>
      <c r="H13" s="175"/>
      <c r="I13" s="176"/>
    </row>
    <row r="14" spans="1:12" x14ac:dyDescent="0.2">
      <c r="A14" s="43" t="s">
        <v>156</v>
      </c>
      <c r="B14" s="175">
        <f>SUM(TB!D7:D10)+TB!D14</f>
        <v>13588.14</v>
      </c>
      <c r="C14" s="176"/>
      <c r="D14" s="96"/>
      <c r="E14" s="175">
        <v>49782.73</v>
      </c>
      <c r="F14" s="176"/>
      <c r="G14" s="96"/>
      <c r="H14" s="175">
        <v>9217.17</v>
      </c>
      <c r="I14" s="176"/>
    </row>
    <row r="15" spans="1:12" x14ac:dyDescent="0.2">
      <c r="A15" s="43"/>
      <c r="B15" s="177">
        <f>SUM(B10:B14)</f>
        <v>39357.14</v>
      </c>
      <c r="C15" s="174"/>
      <c r="D15" s="96"/>
      <c r="E15" s="177">
        <f>SUM(E9:E14)</f>
        <v>74821.390000000014</v>
      </c>
      <c r="F15" s="174"/>
      <c r="G15" s="96"/>
      <c r="H15" s="177">
        <v>11603.4</v>
      </c>
      <c r="I15" s="174"/>
    </row>
    <row r="16" spans="1:12" x14ac:dyDescent="0.2">
      <c r="A16" s="44" t="s">
        <v>157</v>
      </c>
      <c r="B16" s="173"/>
      <c r="C16" s="174"/>
      <c r="D16" s="96"/>
      <c r="E16" s="173"/>
      <c r="F16" s="174"/>
      <c r="G16" s="96"/>
      <c r="H16" s="173"/>
      <c r="I16" s="174"/>
      <c r="K16" s="78"/>
      <c r="L16" s="78"/>
    </row>
    <row r="17" spans="1:12" x14ac:dyDescent="0.2">
      <c r="A17" s="43"/>
      <c r="B17" s="173"/>
      <c r="C17" s="174"/>
      <c r="D17" s="96"/>
      <c r="E17" s="173"/>
      <c r="F17" s="174"/>
      <c r="G17" s="96"/>
      <c r="H17" s="173"/>
      <c r="I17" s="174"/>
      <c r="K17" s="78"/>
      <c r="L17" s="78"/>
    </row>
    <row r="18" spans="1:12" ht="25.5" x14ac:dyDescent="0.2">
      <c r="A18" s="44" t="s">
        <v>158</v>
      </c>
      <c r="B18" s="173"/>
      <c r="C18" s="174"/>
      <c r="D18" s="96"/>
      <c r="E18" s="173"/>
      <c r="F18" s="174"/>
      <c r="G18" s="96"/>
      <c r="H18" s="173"/>
      <c r="I18" s="174"/>
      <c r="J18" s="78"/>
      <c r="K18" s="78"/>
      <c r="L18" s="78"/>
    </row>
    <row r="19" spans="1:12" s="80" customFormat="1" x14ac:dyDescent="0.2">
      <c r="A19" s="43" t="s">
        <v>170</v>
      </c>
      <c r="B19" s="175">
        <f>-TB!D16</f>
        <v>19148.32</v>
      </c>
      <c r="C19" s="174"/>
      <c r="D19" s="96"/>
      <c r="E19" s="175">
        <v>29054.97</v>
      </c>
      <c r="F19" s="174"/>
      <c r="G19" s="96"/>
      <c r="H19" s="175">
        <v>-27904.38</v>
      </c>
      <c r="I19" s="174"/>
      <c r="K19" s="78"/>
      <c r="L19" s="78"/>
    </row>
    <row r="20" spans="1:12" x14ac:dyDescent="0.2">
      <c r="A20" s="43" t="s">
        <v>997</v>
      </c>
      <c r="B20" s="175">
        <f>-TB!D12</f>
        <v>40836.33</v>
      </c>
      <c r="C20" s="174"/>
      <c r="D20" s="96"/>
      <c r="E20" s="175">
        <v>55982.36</v>
      </c>
      <c r="F20" s="174"/>
      <c r="G20" s="96"/>
      <c r="H20" s="175">
        <v>35905.03</v>
      </c>
      <c r="I20" s="174"/>
      <c r="K20" s="78"/>
      <c r="L20" s="78"/>
    </row>
    <row r="21" spans="1:12" x14ac:dyDescent="0.2">
      <c r="A21" s="43" t="s">
        <v>780</v>
      </c>
      <c r="B21" s="175">
        <f>-TB!D13-TB!D18-TB!D19-TB!D20</f>
        <v>0</v>
      </c>
      <c r="C21" s="174"/>
      <c r="D21" s="96"/>
      <c r="E21" s="175">
        <f>-[1]TB!G13-[1]TB!G18-[1]TB!G19-[1]TB!G20</f>
        <v>0</v>
      </c>
      <c r="F21" s="174"/>
      <c r="G21" s="96"/>
      <c r="H21" s="175">
        <v>0</v>
      </c>
      <c r="I21" s="174"/>
      <c r="K21" s="78"/>
      <c r="L21" s="78"/>
    </row>
    <row r="22" spans="1:12" s="80" customFormat="1" x14ac:dyDescent="0.2">
      <c r="A22" s="43" t="s">
        <v>807</v>
      </c>
      <c r="B22" s="175">
        <f>-TB!D24</f>
        <v>0</v>
      </c>
      <c r="C22" s="174"/>
      <c r="D22" s="96"/>
      <c r="E22" s="175">
        <v>5472.56</v>
      </c>
      <c r="F22" s="174"/>
      <c r="G22" s="96"/>
      <c r="H22" s="175">
        <v>-4023.73</v>
      </c>
      <c r="I22" s="174"/>
      <c r="K22" s="78"/>
      <c r="L22" s="78"/>
    </row>
    <row r="23" spans="1:12" x14ac:dyDescent="0.2">
      <c r="A23" s="43" t="s">
        <v>120</v>
      </c>
      <c r="B23" s="175">
        <f>-TB!D21</f>
        <v>7178.79</v>
      </c>
      <c r="C23" s="174"/>
      <c r="D23" s="96"/>
      <c r="E23" s="175">
        <v>63195.839999999997</v>
      </c>
      <c r="F23" s="174"/>
      <c r="G23" s="96"/>
      <c r="H23" s="175">
        <v>29763.63</v>
      </c>
      <c r="I23" s="174"/>
      <c r="K23" s="78"/>
      <c r="L23" s="78"/>
    </row>
    <row r="24" spans="1:12" s="80" customFormat="1" x14ac:dyDescent="0.2">
      <c r="A24" s="43" t="s">
        <v>1004</v>
      </c>
      <c r="B24" s="175">
        <f>-TB!C22</f>
        <v>0</v>
      </c>
      <c r="C24" s="174"/>
      <c r="D24" s="96"/>
      <c r="E24" s="175">
        <f>-[1]TB!F22</f>
        <v>0</v>
      </c>
      <c r="F24" s="174"/>
      <c r="G24" s="96"/>
      <c r="H24" s="175">
        <v>748.54</v>
      </c>
      <c r="I24" s="174"/>
      <c r="K24" s="78"/>
      <c r="L24" s="78"/>
    </row>
    <row r="25" spans="1:12" x14ac:dyDescent="0.2">
      <c r="A25" s="43"/>
      <c r="B25" s="177">
        <f>SUM(B19:B24)</f>
        <v>67163.44</v>
      </c>
      <c r="C25" s="174"/>
      <c r="D25" s="96"/>
      <c r="E25" s="177">
        <f>SUM(E19:E24)</f>
        <v>153705.72999999998</v>
      </c>
      <c r="F25" s="174"/>
      <c r="G25" s="96"/>
      <c r="H25" s="177">
        <v>34489.089999999997</v>
      </c>
      <c r="I25" s="174"/>
      <c r="K25" s="78"/>
      <c r="L25" s="78"/>
    </row>
    <row r="26" spans="1:12" x14ac:dyDescent="0.2">
      <c r="A26" s="43"/>
      <c r="B26" s="173"/>
      <c r="C26" s="174"/>
      <c r="D26" s="96"/>
      <c r="E26" s="173"/>
      <c r="F26" s="174"/>
      <c r="G26" s="96"/>
      <c r="H26" s="173"/>
      <c r="I26" s="174"/>
      <c r="K26" s="78"/>
      <c r="L26" s="78"/>
    </row>
    <row r="27" spans="1:12" x14ac:dyDescent="0.2">
      <c r="A27" s="46"/>
      <c r="B27" s="173"/>
      <c r="C27" s="174"/>
      <c r="D27" s="96"/>
      <c r="E27" s="173"/>
      <c r="F27" s="174"/>
      <c r="G27" s="96"/>
      <c r="H27" s="173"/>
      <c r="I27" s="174"/>
      <c r="K27" s="78"/>
      <c r="L27" s="78"/>
    </row>
    <row r="28" spans="1:12" x14ac:dyDescent="0.2">
      <c r="A28" s="46" t="s">
        <v>167</v>
      </c>
      <c r="B28" s="173"/>
      <c r="C28" s="174">
        <f>+B15-B25</f>
        <v>-27806.300000000003</v>
      </c>
      <c r="D28" s="96"/>
      <c r="E28" s="173"/>
      <c r="F28" s="174">
        <f>+E15-E25</f>
        <v>-78884.339999999967</v>
      </c>
      <c r="G28" s="96"/>
      <c r="H28" s="173"/>
      <c r="I28" s="174">
        <v>-22885.689999999995</v>
      </c>
      <c r="K28" s="78"/>
      <c r="L28" s="78"/>
    </row>
    <row r="29" spans="1:12" x14ac:dyDescent="0.2">
      <c r="A29" s="43"/>
      <c r="B29" s="173"/>
      <c r="C29" s="174"/>
      <c r="D29" s="96"/>
      <c r="E29" s="173"/>
      <c r="F29" s="174"/>
      <c r="G29" s="96"/>
      <c r="H29" s="173"/>
      <c r="I29" s="174"/>
      <c r="K29" s="78"/>
      <c r="L29" s="78"/>
    </row>
    <row r="30" spans="1:12" x14ac:dyDescent="0.2">
      <c r="A30" s="44" t="s">
        <v>159</v>
      </c>
      <c r="B30" s="173"/>
      <c r="C30" s="178">
        <f>+C28+C6</f>
        <v>834003.7</v>
      </c>
      <c r="D30" s="96"/>
      <c r="E30" s="173"/>
      <c r="F30" s="178">
        <f>+F28+F6</f>
        <v>757303.66</v>
      </c>
      <c r="G30" s="96"/>
      <c r="H30" s="173"/>
      <c r="I30" s="178">
        <v>738379.31</v>
      </c>
      <c r="K30" s="78"/>
      <c r="L30" s="78"/>
    </row>
    <row r="31" spans="1:12" x14ac:dyDescent="0.2">
      <c r="A31" s="43"/>
      <c r="B31" s="173"/>
      <c r="C31" s="174"/>
      <c r="D31" s="96"/>
      <c r="E31" s="173"/>
      <c r="F31" s="174"/>
      <c r="G31" s="96"/>
      <c r="H31" s="173"/>
      <c r="I31" s="174"/>
      <c r="K31" s="78"/>
      <c r="L31" s="78"/>
    </row>
    <row r="32" spans="1:12" x14ac:dyDescent="0.2">
      <c r="A32" s="43"/>
      <c r="B32" s="173"/>
      <c r="C32" s="174"/>
      <c r="D32" s="96"/>
      <c r="E32" s="173"/>
      <c r="F32" s="174"/>
      <c r="G32" s="96"/>
      <c r="H32" s="173"/>
      <c r="I32" s="174"/>
      <c r="K32" s="78"/>
      <c r="L32" s="78"/>
    </row>
    <row r="33" spans="1:12" x14ac:dyDescent="0.2">
      <c r="A33" s="43"/>
      <c r="B33" s="173"/>
      <c r="C33" s="174"/>
      <c r="D33" s="96"/>
      <c r="E33" s="173"/>
      <c r="F33" s="174"/>
      <c r="G33" s="96"/>
      <c r="H33" s="173"/>
      <c r="I33" s="174"/>
      <c r="K33" s="78"/>
      <c r="L33" s="78"/>
    </row>
    <row r="34" spans="1:12" x14ac:dyDescent="0.2">
      <c r="A34" s="43" t="s">
        <v>160</v>
      </c>
      <c r="B34" s="173"/>
      <c r="C34" s="176">
        <f>-TB!D28</f>
        <v>555352.93999999994</v>
      </c>
      <c r="D34" s="97"/>
      <c r="E34" s="173"/>
      <c r="F34" s="176">
        <v>545907.43000000005</v>
      </c>
      <c r="G34" s="97"/>
      <c r="H34" s="173"/>
      <c r="I34" s="176">
        <v>510875.26</v>
      </c>
      <c r="K34" s="78"/>
      <c r="L34" s="78"/>
    </row>
    <row r="35" spans="1:12" x14ac:dyDescent="0.2">
      <c r="A35" s="43" t="s">
        <v>161</v>
      </c>
      <c r="B35" s="173"/>
      <c r="C35" s="176">
        <f>-TB!D26-TB!D27</f>
        <v>221901.25000000006</v>
      </c>
      <c r="D35" s="97"/>
      <c r="E35" s="173"/>
      <c r="F35" s="176">
        <v>258842.91</v>
      </c>
      <c r="G35" s="97"/>
      <c r="H35" s="173"/>
      <c r="I35" s="176">
        <v>269310.73</v>
      </c>
      <c r="K35" s="48"/>
      <c r="L35" s="78"/>
    </row>
    <row r="36" spans="1:12" ht="12.75" customHeight="1" x14ac:dyDescent="0.2">
      <c r="A36" s="43" t="s">
        <v>818</v>
      </c>
      <c r="B36" s="173"/>
      <c r="C36" s="176">
        <f>-TB!D113</f>
        <v>59250.510000000031</v>
      </c>
      <c r="D36" s="96"/>
      <c r="E36" s="173"/>
      <c r="F36" s="179">
        <v>-47446.68</v>
      </c>
      <c r="G36" s="96"/>
      <c r="H36" s="173"/>
      <c r="I36" s="179">
        <v>-44214.680000000051</v>
      </c>
      <c r="K36" s="78"/>
      <c r="L36" s="78"/>
    </row>
    <row r="37" spans="1:12" x14ac:dyDescent="0.2">
      <c r="A37" s="43"/>
      <c r="B37" s="173"/>
      <c r="C37" s="174"/>
      <c r="D37" s="96"/>
      <c r="E37" s="173"/>
      <c r="F37" s="174"/>
      <c r="G37" s="96"/>
      <c r="H37" s="173"/>
      <c r="I37" s="174"/>
      <c r="K37" s="78"/>
      <c r="L37" s="78"/>
    </row>
    <row r="38" spans="1:12" x14ac:dyDescent="0.2">
      <c r="A38" s="45" t="s">
        <v>162</v>
      </c>
      <c r="B38" s="173"/>
      <c r="C38" s="178">
        <f>SUM(C34:C37)</f>
        <v>836504.7</v>
      </c>
      <c r="D38" s="96"/>
      <c r="E38" s="173"/>
      <c r="F38" s="178">
        <f>SUM(F34:F37)</f>
        <v>757303.66</v>
      </c>
      <c r="G38" s="96"/>
      <c r="H38" s="173"/>
      <c r="I38" s="178">
        <v>735971.30999999994</v>
      </c>
      <c r="K38" s="78"/>
      <c r="L38" s="78"/>
    </row>
    <row r="39" spans="1:12" x14ac:dyDescent="0.2">
      <c r="A39" s="43"/>
      <c r="B39" s="173"/>
      <c r="C39" s="174"/>
      <c r="D39" s="96"/>
      <c r="E39" s="173"/>
      <c r="F39" s="174"/>
      <c r="G39" s="96"/>
      <c r="H39" s="173"/>
      <c r="I39" s="174"/>
      <c r="K39" s="78"/>
      <c r="L39" s="78"/>
    </row>
    <row r="40" spans="1:12" x14ac:dyDescent="0.2">
      <c r="B40" s="180" t="s">
        <v>1000</v>
      </c>
      <c r="C40" s="181">
        <f>TB!D4</f>
        <v>2501</v>
      </c>
      <c r="D40" s="96"/>
      <c r="E40" s="180" t="s">
        <v>1000</v>
      </c>
      <c r="F40" s="181">
        <f>[1]TB!G4</f>
        <v>0</v>
      </c>
      <c r="G40" s="96"/>
      <c r="H40" s="99" t="s">
        <v>1000</v>
      </c>
      <c r="I40" s="98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4"/>
      <c r="E42" s="4"/>
      <c r="F42" s="4"/>
      <c r="G42" s="4"/>
      <c r="H42" s="1"/>
      <c r="I42" s="1"/>
      <c r="K42" s="78"/>
      <c r="L42" s="78"/>
    </row>
    <row r="43" spans="1:12" x14ac:dyDescent="0.2">
      <c r="B43" s="4"/>
      <c r="C43" s="94"/>
      <c r="D43" s="4"/>
      <c r="E43" s="4"/>
      <c r="F43" s="4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1"/>
      <c r="E44" s="1"/>
      <c r="F44" s="1"/>
      <c r="G44" s="1"/>
      <c r="H44" s="1"/>
      <c r="I44" s="1"/>
      <c r="K44" s="78"/>
      <c r="L44" s="78"/>
    </row>
    <row r="45" spans="1:12" x14ac:dyDescent="0.2">
      <c r="B45" s="1"/>
      <c r="C45" s="81"/>
      <c r="D45" s="1"/>
      <c r="E45" s="1"/>
      <c r="F45" s="1"/>
      <c r="G45" s="1"/>
      <c r="H45" s="1"/>
      <c r="I45" s="1"/>
      <c r="K45" s="78"/>
      <c r="L45" s="78"/>
    </row>
    <row r="46" spans="1:12" x14ac:dyDescent="0.2">
      <c r="B46" s="48"/>
      <c r="C46" s="82"/>
      <c r="D46" s="1"/>
      <c r="E46" s="1"/>
      <c r="F46" s="1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K47" s="78"/>
      <c r="L47" s="78"/>
    </row>
    <row r="48" spans="1:12" s="3" customFormat="1" x14ac:dyDescent="0.2">
      <c r="A48"/>
      <c r="B48" s="78"/>
      <c r="C48" s="48"/>
      <c r="D48"/>
      <c r="E48" s="80"/>
      <c r="F48" s="80"/>
      <c r="G48" s="80"/>
      <c r="H48"/>
      <c r="I48"/>
    </row>
    <row r="49" spans="1:9" x14ac:dyDescent="0.2">
      <c r="A49" s="6"/>
      <c r="B49" s="79"/>
      <c r="C49" s="65"/>
      <c r="D49" s="3"/>
      <c r="E49" s="3"/>
      <c r="F49" s="3"/>
      <c r="G49" s="3"/>
      <c r="H49" s="3"/>
      <c r="I49" s="3"/>
    </row>
    <row r="51" spans="1:9" x14ac:dyDescent="0.2">
      <c r="C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15" zoomScaleNormal="115" zoomScaleSheetLayoutView="70" workbookViewId="0">
      <pane ySplit="3" topLeftCell="A91" activePane="bottomLeft" state="frozen"/>
      <selection pane="bottomLeft" activeCell="D122" sqref="D122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3" style="141" customWidth="1"/>
    <col min="8" max="16384" width="9.140625" style="108"/>
  </cols>
  <sheetData>
    <row r="1" spans="1:7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8"/>
    </row>
    <row r="2" spans="1:7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5"/>
    </row>
    <row r="3" spans="1:7" ht="11.1" customHeight="1" thickBot="1" x14ac:dyDescent="0.25">
      <c r="A3" s="109"/>
      <c r="B3" s="109"/>
      <c r="C3" s="135">
        <f>SUM(C4:C111)</f>
        <v>6.2527760746888816E-13</v>
      </c>
      <c r="D3" s="135">
        <f>SUM(D4:D111)</f>
        <v>-1.6484591469634324E-12</v>
      </c>
      <c r="E3" s="110"/>
      <c r="F3" s="111">
        <f>SUM(F4:F111)</f>
        <v>-5.3290705182007514E-14</v>
      </c>
      <c r="G3" s="182" t="s">
        <v>1022</v>
      </c>
    </row>
    <row r="4" spans="1:7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 t="shared" ref="F4:F10" si="1">SUM(G4:G4)</f>
        <v>0</v>
      </c>
      <c r="G4" s="153"/>
    </row>
    <row r="5" spans="1:7" ht="12.75" customHeight="1" x14ac:dyDescent="0.2">
      <c r="A5" s="112" t="s">
        <v>787</v>
      </c>
      <c r="B5" s="113" t="s">
        <v>154</v>
      </c>
      <c r="C5" s="136"/>
      <c r="D5" s="142">
        <f t="shared" si="0"/>
        <v>0</v>
      </c>
      <c r="E5" s="114" t="s">
        <v>938</v>
      </c>
      <c r="F5" s="129">
        <f t="shared" si="1"/>
        <v>0</v>
      </c>
      <c r="G5" s="155"/>
    </row>
    <row r="6" spans="1:7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5"/>
    </row>
    <row r="7" spans="1:7" ht="12.75" customHeight="1" x14ac:dyDescent="0.2">
      <c r="A7" s="112" t="s">
        <v>789</v>
      </c>
      <c r="B7" s="113" t="s">
        <v>790</v>
      </c>
      <c r="C7" s="136">
        <v>872.51</v>
      </c>
      <c r="D7" s="142">
        <f t="shared" si="0"/>
        <v>872.51</v>
      </c>
      <c r="E7" s="114" t="s">
        <v>934</v>
      </c>
      <c r="F7" s="129">
        <f t="shared" si="1"/>
        <v>0</v>
      </c>
      <c r="G7" s="155"/>
    </row>
    <row r="8" spans="1:7" ht="12.75" customHeight="1" x14ac:dyDescent="0.2">
      <c r="A8" s="112" t="s">
        <v>791</v>
      </c>
      <c r="B8" s="113" t="s">
        <v>792</v>
      </c>
      <c r="C8" s="136">
        <v>406</v>
      </c>
      <c r="D8" s="142">
        <f t="shared" si="0"/>
        <v>406</v>
      </c>
      <c r="E8" s="114" t="s">
        <v>934</v>
      </c>
      <c r="F8" s="129">
        <f t="shared" si="1"/>
        <v>0</v>
      </c>
      <c r="G8" s="155"/>
    </row>
    <row r="9" spans="1:7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5"/>
    </row>
    <row r="10" spans="1:7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5"/>
    </row>
    <row r="11" spans="1:7" ht="12.75" customHeight="1" x14ac:dyDescent="0.2">
      <c r="A11" s="112" t="s">
        <v>1012</v>
      </c>
      <c r="B11" s="113" t="s">
        <v>1013</v>
      </c>
      <c r="C11" s="136"/>
      <c r="D11" s="142"/>
      <c r="E11" s="114"/>
      <c r="F11" s="129"/>
      <c r="G11" s="155"/>
    </row>
    <row r="12" spans="1:7" ht="12.75" customHeight="1" x14ac:dyDescent="0.2">
      <c r="A12" s="112" t="s">
        <v>797</v>
      </c>
      <c r="B12" s="113" t="s">
        <v>798</v>
      </c>
      <c r="C12" s="136">
        <v>-24635.34</v>
      </c>
      <c r="D12" s="142">
        <f t="shared" si="0"/>
        <v>-24635.34</v>
      </c>
      <c r="E12" s="114" t="s">
        <v>933</v>
      </c>
      <c r="F12" s="129">
        <f t="shared" ref="F12:F21" si="2">SUM(G12:G12)</f>
        <v>0</v>
      </c>
      <c r="G12" s="155"/>
    </row>
    <row r="13" spans="1:7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2"/>
        <v>0</v>
      </c>
      <c r="G13" s="155"/>
    </row>
    <row r="14" spans="1:7" ht="12.75" customHeight="1" x14ac:dyDescent="0.2">
      <c r="A14" s="112" t="s">
        <v>1009</v>
      </c>
      <c r="B14" s="113" t="s">
        <v>1010</v>
      </c>
      <c r="C14" s="140">
        <v>-86</v>
      </c>
      <c r="D14" s="166">
        <f t="shared" si="0"/>
        <v>-86</v>
      </c>
      <c r="E14" s="114" t="s">
        <v>936</v>
      </c>
      <c r="F14" s="129">
        <f t="shared" si="2"/>
        <v>0</v>
      </c>
      <c r="G14" s="155"/>
    </row>
    <row r="15" spans="1:7" ht="12.75" customHeight="1" x14ac:dyDescent="0.2">
      <c r="A15" s="112" t="s">
        <v>816</v>
      </c>
      <c r="B15" s="113" t="s">
        <v>817</v>
      </c>
      <c r="C15" s="136">
        <v>10963.21</v>
      </c>
      <c r="D15" s="142">
        <f t="shared" si="0"/>
        <v>10963.21</v>
      </c>
      <c r="E15" s="114" t="s">
        <v>932</v>
      </c>
      <c r="F15" s="129">
        <f t="shared" si="2"/>
        <v>0</v>
      </c>
      <c r="G15" s="155"/>
    </row>
    <row r="16" spans="1:7" ht="12.75" customHeight="1" x14ac:dyDescent="0.2">
      <c r="A16" s="112" t="s">
        <v>783</v>
      </c>
      <c r="B16" s="113" t="s">
        <v>170</v>
      </c>
      <c r="C16" s="136">
        <v>14906.34</v>
      </c>
      <c r="D16" s="142">
        <f t="shared" si="0"/>
        <v>14906.34</v>
      </c>
      <c r="E16" s="114" t="s">
        <v>935</v>
      </c>
      <c r="F16" s="129">
        <f t="shared" si="2"/>
        <v>0</v>
      </c>
      <c r="G16" s="155"/>
    </row>
    <row r="17" spans="1:7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2"/>
        <v>0</v>
      </c>
      <c r="G17" s="155"/>
    </row>
    <row r="18" spans="1:7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2"/>
        <v>0</v>
      </c>
      <c r="G18" s="155"/>
    </row>
    <row r="19" spans="1:7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2"/>
        <v>0</v>
      </c>
      <c r="G19" s="155"/>
    </row>
    <row r="20" spans="1:7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2"/>
        <v>0</v>
      </c>
      <c r="G20" s="155"/>
    </row>
    <row r="21" spans="1:7" ht="12.75" customHeight="1" x14ac:dyDescent="0.2">
      <c r="A21" s="112" t="s">
        <v>664</v>
      </c>
      <c r="B21" s="113" t="s">
        <v>1001</v>
      </c>
      <c r="C21" s="136">
        <v>-6862.55</v>
      </c>
      <c r="D21" s="142">
        <f t="shared" si="0"/>
        <v>-6862.55</v>
      </c>
      <c r="E21" s="114" t="s">
        <v>139</v>
      </c>
      <c r="F21" s="129">
        <f t="shared" si="2"/>
        <v>0</v>
      </c>
      <c r="G21" s="155"/>
    </row>
    <row r="22" spans="1:7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5"/>
    </row>
    <row r="23" spans="1:7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ref="F23:F29" si="3">SUM(G23:G23)</f>
        <v>0</v>
      </c>
      <c r="G23" s="155"/>
    </row>
    <row r="24" spans="1:7" ht="12.75" customHeight="1" x14ac:dyDescent="0.2">
      <c r="A24" s="112" t="s">
        <v>805</v>
      </c>
      <c r="B24" s="113" t="s">
        <v>806</v>
      </c>
      <c r="C24" s="136">
        <v>262.08</v>
      </c>
      <c r="D24" s="142">
        <f t="shared" si="0"/>
        <v>-2643.59</v>
      </c>
      <c r="E24" s="145" t="s">
        <v>937</v>
      </c>
      <c r="F24" s="142">
        <f t="shared" si="3"/>
        <v>-2905.67</v>
      </c>
      <c r="G24" s="155">
        <v>-2905.67</v>
      </c>
    </row>
    <row r="25" spans="1:7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3"/>
        <v>0</v>
      </c>
      <c r="G25" s="155"/>
    </row>
    <row r="26" spans="1:7" ht="12.75" customHeight="1" x14ac:dyDescent="0.2">
      <c r="A26" s="112" t="s">
        <v>808</v>
      </c>
      <c r="B26" s="113" t="s">
        <v>809</v>
      </c>
      <c r="C26" s="136"/>
      <c r="D26" s="142">
        <f t="shared" si="0"/>
        <v>0</v>
      </c>
      <c r="E26" s="145" t="s">
        <v>139</v>
      </c>
      <c r="F26" s="142">
        <f t="shared" si="3"/>
        <v>0</v>
      </c>
      <c r="G26" s="155"/>
    </row>
    <row r="27" spans="1:7" ht="12.75" customHeight="1" x14ac:dyDescent="0.2">
      <c r="A27" s="112" t="s">
        <v>943</v>
      </c>
      <c r="B27" s="113" t="s">
        <v>963</v>
      </c>
      <c r="C27" s="136"/>
      <c r="D27" s="142">
        <f t="shared" si="0"/>
        <v>0</v>
      </c>
      <c r="E27" s="114"/>
      <c r="F27" s="129">
        <f t="shared" si="3"/>
        <v>0</v>
      </c>
      <c r="G27" s="155"/>
    </row>
    <row r="28" spans="1:7" ht="12.75" customHeight="1" x14ac:dyDescent="0.2">
      <c r="A28" s="117" t="s">
        <v>810</v>
      </c>
      <c r="B28" s="118" t="s">
        <v>811</v>
      </c>
      <c r="C28" s="136">
        <v>5281.42</v>
      </c>
      <c r="D28" s="142">
        <f t="shared" si="0"/>
        <v>5281.42</v>
      </c>
      <c r="E28" s="145" t="s">
        <v>939</v>
      </c>
      <c r="F28" s="142">
        <f t="shared" si="3"/>
        <v>0</v>
      </c>
      <c r="G28" s="155"/>
    </row>
    <row r="29" spans="1:7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3"/>
        <v>0</v>
      </c>
      <c r="G29" s="159"/>
    </row>
    <row r="30" spans="1:7" ht="12.75" customHeight="1" x14ac:dyDescent="0.2">
      <c r="A30" s="123"/>
      <c r="B30" s="124"/>
      <c r="C30" s="137"/>
      <c r="D30" s="137"/>
      <c r="E30" s="125"/>
      <c r="F30" s="131"/>
      <c r="G30" s="160"/>
    </row>
    <row r="31" spans="1:7" ht="12.75" customHeight="1" thickBot="1" x14ac:dyDescent="0.25">
      <c r="A31" s="120"/>
      <c r="B31" s="121"/>
      <c r="C31" s="138"/>
      <c r="D31" s="138"/>
      <c r="E31" s="122"/>
      <c r="F31" s="132"/>
      <c r="G31" s="161"/>
    </row>
    <row r="32" spans="1:7" ht="12.75" customHeight="1" x14ac:dyDescent="0.2">
      <c r="A32" s="108" t="s">
        <v>822</v>
      </c>
      <c r="B32" s="108" t="s">
        <v>823</v>
      </c>
      <c r="C32" s="136"/>
      <c r="D32" s="142">
        <f t="shared" ref="D32:D95" si="4">+C32+F32</f>
        <v>0</v>
      </c>
      <c r="E32" s="114"/>
      <c r="F32" s="129">
        <f t="shared" ref="F32:F52" si="5">SUM(G32:G32)</f>
        <v>0</v>
      </c>
      <c r="G32" s="155"/>
    </row>
    <row r="33" spans="1:7" ht="12.75" customHeight="1" x14ac:dyDescent="0.2">
      <c r="A33" s="108" t="s">
        <v>824</v>
      </c>
      <c r="B33" s="108" t="s">
        <v>965</v>
      </c>
      <c r="C33" s="139">
        <v>-4212.13</v>
      </c>
      <c r="D33" s="144">
        <f t="shared" si="4"/>
        <v>-4212.13</v>
      </c>
      <c r="E33" s="114"/>
      <c r="F33" s="129">
        <f t="shared" si="5"/>
        <v>0</v>
      </c>
      <c r="G33" s="155"/>
    </row>
    <row r="34" spans="1:7" ht="12.75" customHeight="1" x14ac:dyDescent="0.2">
      <c r="A34" s="108" t="s">
        <v>825</v>
      </c>
      <c r="B34" s="108" t="s">
        <v>826</v>
      </c>
      <c r="C34" s="139"/>
      <c r="D34" s="144">
        <f t="shared" si="4"/>
        <v>0</v>
      </c>
      <c r="E34" s="114"/>
      <c r="F34" s="129">
        <f t="shared" si="5"/>
        <v>0</v>
      </c>
      <c r="G34" s="155"/>
    </row>
    <row r="35" spans="1:7" ht="12.75" customHeight="1" x14ac:dyDescent="0.2">
      <c r="A35" s="108" t="s">
        <v>827</v>
      </c>
      <c r="B35" s="108" t="s">
        <v>966</v>
      </c>
      <c r="C35" s="139"/>
      <c r="D35" s="144">
        <f t="shared" si="4"/>
        <v>0</v>
      </c>
      <c r="E35" s="114"/>
      <c r="F35" s="129">
        <f t="shared" si="5"/>
        <v>0</v>
      </c>
      <c r="G35" s="155"/>
    </row>
    <row r="36" spans="1:7" ht="12.75" customHeight="1" x14ac:dyDescent="0.2">
      <c r="A36" s="108" t="s">
        <v>828</v>
      </c>
      <c r="B36" s="108" t="s">
        <v>782</v>
      </c>
      <c r="C36" s="139"/>
      <c r="D36" s="144">
        <f t="shared" si="4"/>
        <v>0</v>
      </c>
      <c r="E36" s="114"/>
      <c r="F36" s="129">
        <f t="shared" si="5"/>
        <v>0</v>
      </c>
      <c r="G36" s="155"/>
    </row>
    <row r="37" spans="1:7" ht="12.75" customHeight="1" x14ac:dyDescent="0.2">
      <c r="A37" s="112" t="s">
        <v>829</v>
      </c>
      <c r="B37" s="112" t="s">
        <v>830</v>
      </c>
      <c r="C37" s="139"/>
      <c r="D37" s="144">
        <f t="shared" si="4"/>
        <v>0</v>
      </c>
      <c r="E37" s="114"/>
      <c r="F37" s="129">
        <f t="shared" si="5"/>
        <v>0</v>
      </c>
      <c r="G37" s="155"/>
    </row>
    <row r="38" spans="1:7" ht="12.75" customHeight="1" x14ac:dyDescent="0.2">
      <c r="A38" s="112" t="s">
        <v>831</v>
      </c>
      <c r="B38" s="113" t="s">
        <v>832</v>
      </c>
      <c r="C38" s="167">
        <v>105.22</v>
      </c>
      <c r="D38" s="168">
        <f t="shared" si="4"/>
        <v>105.22</v>
      </c>
      <c r="E38" s="114"/>
      <c r="F38" s="129">
        <f t="shared" si="5"/>
        <v>0</v>
      </c>
      <c r="G38" s="155"/>
    </row>
    <row r="39" spans="1:7" ht="12.75" customHeight="1" x14ac:dyDescent="0.2">
      <c r="A39" s="112" t="s">
        <v>833</v>
      </c>
      <c r="B39" s="113" t="s">
        <v>834</v>
      </c>
      <c r="C39" s="139"/>
      <c r="D39" s="144">
        <f t="shared" si="4"/>
        <v>0</v>
      </c>
      <c r="E39" s="114"/>
      <c r="F39" s="129">
        <f t="shared" si="5"/>
        <v>0</v>
      </c>
      <c r="G39" s="155"/>
    </row>
    <row r="40" spans="1:7" ht="12.75" customHeight="1" x14ac:dyDescent="0.2">
      <c r="A40" s="112" t="s">
        <v>835</v>
      </c>
      <c r="B40" s="113" t="s">
        <v>836</v>
      </c>
      <c r="C40" s="139">
        <v>-320</v>
      </c>
      <c r="D40" s="144">
        <f t="shared" si="4"/>
        <v>-320</v>
      </c>
      <c r="E40" s="114"/>
      <c r="F40" s="129">
        <f t="shared" si="5"/>
        <v>0</v>
      </c>
      <c r="G40" s="155"/>
    </row>
    <row r="41" spans="1:7" ht="12.75" customHeight="1" x14ac:dyDescent="0.2">
      <c r="A41" s="112" t="s">
        <v>837</v>
      </c>
      <c r="B41" s="113" t="s">
        <v>838</v>
      </c>
      <c r="C41" s="139"/>
      <c r="D41" s="144">
        <f t="shared" si="4"/>
        <v>0</v>
      </c>
      <c r="E41" s="114"/>
      <c r="F41" s="129">
        <f t="shared" si="5"/>
        <v>0</v>
      </c>
      <c r="G41" s="155"/>
    </row>
    <row r="42" spans="1:7" ht="12.75" customHeight="1" x14ac:dyDescent="0.2">
      <c r="A42" s="112" t="s">
        <v>839</v>
      </c>
      <c r="B42" s="113" t="s">
        <v>5</v>
      </c>
      <c r="C42" s="139"/>
      <c r="D42" s="144">
        <f t="shared" si="4"/>
        <v>0</v>
      </c>
      <c r="E42" s="114"/>
      <c r="F42" s="129">
        <f t="shared" si="5"/>
        <v>0</v>
      </c>
      <c r="G42" s="155"/>
    </row>
    <row r="43" spans="1:7" ht="12.75" customHeight="1" x14ac:dyDescent="0.2">
      <c r="A43" s="112" t="s">
        <v>840</v>
      </c>
      <c r="B43" s="113" t="s">
        <v>6</v>
      </c>
      <c r="C43" s="139"/>
      <c r="D43" s="144">
        <f t="shared" si="4"/>
        <v>0</v>
      </c>
      <c r="E43" s="114"/>
      <c r="F43" s="129">
        <f t="shared" si="5"/>
        <v>0</v>
      </c>
      <c r="G43" s="155"/>
    </row>
    <row r="44" spans="1:7" ht="12.75" customHeight="1" x14ac:dyDescent="0.2">
      <c r="A44" s="112" t="s">
        <v>841</v>
      </c>
      <c r="B44" s="113" t="s">
        <v>92</v>
      </c>
      <c r="C44" s="139"/>
      <c r="D44" s="144">
        <f t="shared" si="4"/>
        <v>0</v>
      </c>
      <c r="E44" s="114"/>
      <c r="F44" s="129">
        <f t="shared" si="5"/>
        <v>0</v>
      </c>
      <c r="G44" s="155"/>
    </row>
    <row r="45" spans="1:7" ht="12.75" customHeight="1" x14ac:dyDescent="0.2">
      <c r="A45" s="112" t="s">
        <v>842</v>
      </c>
      <c r="B45" s="113" t="s">
        <v>843</v>
      </c>
      <c r="C45" s="139">
        <v>-55954.49</v>
      </c>
      <c r="D45" s="144">
        <f t="shared" si="4"/>
        <v>-55954.49</v>
      </c>
      <c r="E45" s="114"/>
      <c r="F45" s="129">
        <f t="shared" si="5"/>
        <v>0</v>
      </c>
      <c r="G45" s="155"/>
    </row>
    <row r="46" spans="1:7" ht="12.75" customHeight="1" x14ac:dyDescent="0.2">
      <c r="A46" s="112" t="s">
        <v>959</v>
      </c>
      <c r="B46" s="113" t="s">
        <v>960</v>
      </c>
      <c r="C46" s="139"/>
      <c r="D46" s="144">
        <f t="shared" si="4"/>
        <v>0</v>
      </c>
      <c r="E46" s="114"/>
      <c r="F46" s="129">
        <f t="shared" si="5"/>
        <v>0</v>
      </c>
      <c r="G46" s="155"/>
    </row>
    <row r="47" spans="1:7" ht="12.75" customHeight="1" x14ac:dyDescent="0.2">
      <c r="A47" s="112" t="s">
        <v>844</v>
      </c>
      <c r="B47" s="113" t="s">
        <v>845</v>
      </c>
      <c r="C47" s="139"/>
      <c r="D47" s="144">
        <f t="shared" si="4"/>
        <v>0</v>
      </c>
      <c r="E47" s="114"/>
      <c r="F47" s="129">
        <f t="shared" si="5"/>
        <v>0</v>
      </c>
      <c r="G47" s="155"/>
    </row>
    <row r="48" spans="1:7" ht="12.75" customHeight="1" x14ac:dyDescent="0.2">
      <c r="A48" s="112" t="s">
        <v>846</v>
      </c>
      <c r="B48" s="113" t="s">
        <v>847</v>
      </c>
      <c r="C48" s="139"/>
      <c r="D48" s="144">
        <f t="shared" si="4"/>
        <v>0</v>
      </c>
      <c r="E48" s="114"/>
      <c r="F48" s="129">
        <f t="shared" si="5"/>
        <v>0</v>
      </c>
      <c r="G48" s="155"/>
    </row>
    <row r="49" spans="1:7" ht="12.75" customHeight="1" x14ac:dyDescent="0.2">
      <c r="A49" s="112" t="s">
        <v>848</v>
      </c>
      <c r="B49" s="113" t="s">
        <v>849</v>
      </c>
      <c r="C49" s="139"/>
      <c r="D49" s="144">
        <f t="shared" si="4"/>
        <v>0</v>
      </c>
      <c r="E49" s="114"/>
      <c r="F49" s="129">
        <f t="shared" si="5"/>
        <v>0</v>
      </c>
      <c r="G49" s="155"/>
    </row>
    <row r="50" spans="1:7" ht="12.75" customHeight="1" x14ac:dyDescent="0.2">
      <c r="A50" s="115" t="s">
        <v>974</v>
      </c>
      <c r="B50" s="115" t="s">
        <v>986</v>
      </c>
      <c r="C50" s="139"/>
      <c r="D50" s="144">
        <f t="shared" si="4"/>
        <v>0</v>
      </c>
      <c r="E50" s="114"/>
      <c r="F50" s="129">
        <f t="shared" si="5"/>
        <v>0</v>
      </c>
      <c r="G50" s="155"/>
    </row>
    <row r="51" spans="1:7" ht="12.75" customHeight="1" x14ac:dyDescent="0.2">
      <c r="A51" s="115" t="s">
        <v>975</v>
      </c>
      <c r="B51" s="115" t="s">
        <v>987</v>
      </c>
      <c r="C51" s="139"/>
      <c r="D51" s="144">
        <f t="shared" si="4"/>
        <v>0</v>
      </c>
      <c r="E51" s="114"/>
      <c r="F51" s="129">
        <f t="shared" si="5"/>
        <v>0</v>
      </c>
      <c r="G51" s="155"/>
    </row>
    <row r="52" spans="1:7" ht="12.75" customHeight="1" x14ac:dyDescent="0.2">
      <c r="A52" s="115" t="s">
        <v>976</v>
      </c>
      <c r="B52" s="115" t="s">
        <v>988</v>
      </c>
      <c r="C52" s="139"/>
      <c r="D52" s="144">
        <f t="shared" si="4"/>
        <v>0</v>
      </c>
      <c r="E52" s="114"/>
      <c r="F52" s="129">
        <f t="shared" si="5"/>
        <v>0</v>
      </c>
      <c r="G52" s="155"/>
    </row>
    <row r="53" spans="1:7" ht="12.75" customHeight="1" x14ac:dyDescent="0.2">
      <c r="A53" s="115" t="s">
        <v>1014</v>
      </c>
      <c r="B53" s="115" t="s">
        <v>1015</v>
      </c>
      <c r="C53" s="139"/>
      <c r="D53" s="144">
        <f t="shared" si="4"/>
        <v>0</v>
      </c>
      <c r="E53" s="114"/>
      <c r="F53" s="129"/>
      <c r="G53" s="155"/>
    </row>
    <row r="54" spans="1:7" ht="12.75" customHeight="1" x14ac:dyDescent="0.2">
      <c r="A54" s="112" t="s">
        <v>850</v>
      </c>
      <c r="B54" s="113" t="s">
        <v>967</v>
      </c>
      <c r="C54" s="169">
        <v>5535</v>
      </c>
      <c r="D54" s="170">
        <f t="shared" si="4"/>
        <v>7290</v>
      </c>
      <c r="E54" s="145"/>
      <c r="F54" s="142">
        <f t="shared" ref="F54:F100" si="6">SUM(G54:G54)</f>
        <v>1755</v>
      </c>
      <c r="G54" s="155">
        <v>1755</v>
      </c>
    </row>
    <row r="55" spans="1:7" ht="12.75" customHeight="1" x14ac:dyDescent="0.2">
      <c r="A55" s="112" t="s">
        <v>851</v>
      </c>
      <c r="B55" s="113" t="s">
        <v>852</v>
      </c>
      <c r="C55" s="169"/>
      <c r="D55" s="170">
        <f t="shared" si="4"/>
        <v>0</v>
      </c>
      <c r="E55" s="114"/>
      <c r="F55" s="129">
        <f t="shared" si="6"/>
        <v>0</v>
      </c>
      <c r="G55" s="155"/>
    </row>
    <row r="56" spans="1:7" ht="12.75" customHeight="1" x14ac:dyDescent="0.2">
      <c r="A56" s="112" t="s">
        <v>853</v>
      </c>
      <c r="B56" s="113" t="s">
        <v>854</v>
      </c>
      <c r="C56" s="169"/>
      <c r="D56" s="170">
        <f t="shared" si="4"/>
        <v>0</v>
      </c>
      <c r="E56" s="114"/>
      <c r="F56" s="129">
        <f t="shared" si="6"/>
        <v>0</v>
      </c>
      <c r="G56" s="155"/>
    </row>
    <row r="57" spans="1:7" ht="12.75" customHeight="1" x14ac:dyDescent="0.2">
      <c r="A57" s="112" t="s">
        <v>855</v>
      </c>
      <c r="B57" s="113" t="s">
        <v>856</v>
      </c>
      <c r="C57" s="169"/>
      <c r="D57" s="170">
        <f t="shared" si="4"/>
        <v>0</v>
      </c>
      <c r="E57" s="114"/>
      <c r="F57" s="129">
        <f t="shared" si="6"/>
        <v>0</v>
      </c>
      <c r="G57" s="155"/>
    </row>
    <row r="58" spans="1:7" ht="12.75" customHeight="1" x14ac:dyDescent="0.2">
      <c r="A58" s="112" t="s">
        <v>857</v>
      </c>
      <c r="B58" s="113" t="s">
        <v>858</v>
      </c>
      <c r="C58" s="169">
        <v>2828.75</v>
      </c>
      <c r="D58" s="170">
        <f t="shared" si="4"/>
        <v>2828.75</v>
      </c>
      <c r="E58" s="114"/>
      <c r="F58" s="129">
        <f t="shared" si="6"/>
        <v>0</v>
      </c>
      <c r="G58" s="155"/>
    </row>
    <row r="59" spans="1:7" ht="12.75" customHeight="1" x14ac:dyDescent="0.2">
      <c r="A59" s="112" t="s">
        <v>702</v>
      </c>
      <c r="B59" s="113" t="s">
        <v>968</v>
      </c>
      <c r="C59" s="169">
        <v>1913.32</v>
      </c>
      <c r="D59" s="170">
        <f t="shared" si="4"/>
        <v>1913.32</v>
      </c>
      <c r="E59" s="114"/>
      <c r="F59" s="129">
        <f t="shared" si="6"/>
        <v>0</v>
      </c>
      <c r="G59" s="155"/>
    </row>
    <row r="60" spans="1:7" ht="12.75" customHeight="1" x14ac:dyDescent="0.2">
      <c r="A60" s="112" t="s">
        <v>859</v>
      </c>
      <c r="B60" s="113" t="s">
        <v>860</v>
      </c>
      <c r="C60" s="169">
        <v>439.85</v>
      </c>
      <c r="D60" s="170">
        <f t="shared" si="4"/>
        <v>441.06</v>
      </c>
      <c r="E60" s="145"/>
      <c r="F60" s="142">
        <f t="shared" si="6"/>
        <v>1.21</v>
      </c>
      <c r="G60" s="155">
        <v>1.21</v>
      </c>
    </row>
    <row r="61" spans="1:7" ht="12.75" customHeight="1" x14ac:dyDescent="0.2">
      <c r="A61" s="112" t="s">
        <v>861</v>
      </c>
      <c r="B61" s="113" t="s">
        <v>862</v>
      </c>
      <c r="C61" s="169">
        <v>803.93</v>
      </c>
      <c r="D61" s="170">
        <f t="shared" si="4"/>
        <v>803.93</v>
      </c>
      <c r="E61" s="114"/>
      <c r="F61" s="129">
        <f t="shared" si="6"/>
        <v>0</v>
      </c>
      <c r="G61" s="155"/>
    </row>
    <row r="62" spans="1:7" ht="12.75" customHeight="1" x14ac:dyDescent="0.2">
      <c r="A62" s="112" t="s">
        <v>863</v>
      </c>
      <c r="B62" s="113" t="s">
        <v>864</v>
      </c>
      <c r="C62" s="169"/>
      <c r="D62" s="170">
        <f t="shared" si="4"/>
        <v>0</v>
      </c>
      <c r="E62" s="114"/>
      <c r="F62" s="129">
        <f t="shared" si="6"/>
        <v>0</v>
      </c>
      <c r="G62" s="155"/>
    </row>
    <row r="63" spans="1:7" ht="12.75" customHeight="1" x14ac:dyDescent="0.2">
      <c r="A63" s="112" t="s">
        <v>865</v>
      </c>
      <c r="B63" s="113" t="s">
        <v>866</v>
      </c>
      <c r="C63" s="169"/>
      <c r="D63" s="170">
        <f t="shared" si="4"/>
        <v>0</v>
      </c>
      <c r="E63" s="114"/>
      <c r="F63" s="129">
        <f t="shared" si="6"/>
        <v>0</v>
      </c>
      <c r="G63" s="155"/>
    </row>
    <row r="64" spans="1:7" ht="12.75" customHeight="1" x14ac:dyDescent="0.2">
      <c r="A64" s="112" t="s">
        <v>867</v>
      </c>
      <c r="B64" s="113" t="s">
        <v>868</v>
      </c>
      <c r="C64" s="169"/>
      <c r="D64" s="170">
        <f t="shared" si="4"/>
        <v>0</v>
      </c>
      <c r="E64" s="114"/>
      <c r="F64" s="129">
        <f t="shared" si="6"/>
        <v>0</v>
      </c>
      <c r="G64" s="155"/>
    </row>
    <row r="65" spans="1:7" ht="12.75" customHeight="1" x14ac:dyDescent="0.2">
      <c r="A65" s="112" t="s">
        <v>869</v>
      </c>
      <c r="B65" s="113" t="s">
        <v>870</v>
      </c>
      <c r="C65" s="169">
        <v>651.52</v>
      </c>
      <c r="D65" s="170">
        <f t="shared" si="4"/>
        <v>651.52</v>
      </c>
      <c r="E65" s="114"/>
      <c r="F65" s="129">
        <f t="shared" si="6"/>
        <v>0</v>
      </c>
      <c r="G65" s="155"/>
    </row>
    <row r="66" spans="1:7" ht="12.75" customHeight="1" x14ac:dyDescent="0.2">
      <c r="A66" s="112" t="s">
        <v>871</v>
      </c>
      <c r="B66" s="113" t="s">
        <v>870</v>
      </c>
      <c r="C66" s="169"/>
      <c r="D66" s="170">
        <f t="shared" si="4"/>
        <v>0</v>
      </c>
      <c r="E66" s="114"/>
      <c r="F66" s="129">
        <f t="shared" si="6"/>
        <v>0</v>
      </c>
      <c r="G66" s="155"/>
    </row>
    <row r="67" spans="1:7" ht="12.75" customHeight="1" x14ac:dyDescent="0.2">
      <c r="A67" s="112" t="s">
        <v>872</v>
      </c>
      <c r="B67" s="113" t="s">
        <v>873</v>
      </c>
      <c r="C67" s="169"/>
      <c r="D67" s="170">
        <f t="shared" si="4"/>
        <v>0</v>
      </c>
      <c r="E67" s="114"/>
      <c r="F67" s="129">
        <f t="shared" si="6"/>
        <v>0</v>
      </c>
      <c r="G67" s="155"/>
    </row>
    <row r="68" spans="1:7" ht="12.75" customHeight="1" x14ac:dyDescent="0.2">
      <c r="A68" s="112" t="s">
        <v>874</v>
      </c>
      <c r="B68" s="113" t="s">
        <v>875</v>
      </c>
      <c r="C68" s="169"/>
      <c r="D68" s="170">
        <f t="shared" si="4"/>
        <v>0</v>
      </c>
      <c r="E68" s="114"/>
      <c r="F68" s="129">
        <f t="shared" si="6"/>
        <v>0</v>
      </c>
      <c r="G68" s="155"/>
    </row>
    <row r="69" spans="1:7" ht="12.75" customHeight="1" x14ac:dyDescent="0.2">
      <c r="A69" s="112" t="s">
        <v>924</v>
      </c>
      <c r="B69" s="113" t="s">
        <v>925</v>
      </c>
      <c r="C69" s="169">
        <v>466.42</v>
      </c>
      <c r="D69" s="170">
        <f t="shared" si="4"/>
        <v>466.42</v>
      </c>
      <c r="E69" s="114"/>
      <c r="F69" s="129">
        <f t="shared" si="6"/>
        <v>0</v>
      </c>
      <c r="G69" s="155"/>
    </row>
    <row r="70" spans="1:7" ht="12.75" customHeight="1" x14ac:dyDescent="0.2">
      <c r="A70" s="112" t="s">
        <v>876</v>
      </c>
      <c r="B70" s="113" t="s">
        <v>877</v>
      </c>
      <c r="C70" s="169"/>
      <c r="D70" s="170">
        <f t="shared" si="4"/>
        <v>0</v>
      </c>
      <c r="E70" s="114"/>
      <c r="F70" s="129">
        <f t="shared" si="6"/>
        <v>0</v>
      </c>
      <c r="G70" s="155"/>
    </row>
    <row r="71" spans="1:7" ht="12.75" customHeight="1" x14ac:dyDescent="0.2">
      <c r="A71" s="112" t="s">
        <v>878</v>
      </c>
      <c r="B71" s="113" t="s">
        <v>5</v>
      </c>
      <c r="C71" s="169">
        <v>37.5</v>
      </c>
      <c r="D71" s="170">
        <f t="shared" si="4"/>
        <v>37.5</v>
      </c>
      <c r="E71" s="114"/>
      <c r="F71" s="129">
        <f t="shared" si="6"/>
        <v>0</v>
      </c>
      <c r="G71" s="155"/>
    </row>
    <row r="72" spans="1:7" ht="12.75" customHeight="1" x14ac:dyDescent="0.2">
      <c r="A72" s="112" t="s">
        <v>879</v>
      </c>
      <c r="B72" s="113" t="s">
        <v>880</v>
      </c>
      <c r="C72" s="169"/>
      <c r="D72" s="170">
        <f t="shared" si="4"/>
        <v>0</v>
      </c>
      <c r="E72" s="114"/>
      <c r="F72" s="129">
        <f t="shared" si="6"/>
        <v>0</v>
      </c>
      <c r="G72" s="155"/>
    </row>
    <row r="73" spans="1:7" ht="12.75" customHeight="1" x14ac:dyDescent="0.2">
      <c r="A73" s="112" t="s">
        <v>961</v>
      </c>
      <c r="B73" s="113" t="s">
        <v>962</v>
      </c>
      <c r="C73" s="139"/>
      <c r="D73" s="144">
        <f t="shared" si="4"/>
        <v>0</v>
      </c>
      <c r="E73" s="114"/>
      <c r="F73" s="129">
        <f t="shared" si="6"/>
        <v>0</v>
      </c>
      <c r="G73" s="155"/>
    </row>
    <row r="74" spans="1:7" ht="12.75" customHeight="1" x14ac:dyDescent="0.2">
      <c r="A74" s="112" t="s">
        <v>972</v>
      </c>
      <c r="B74" s="113" t="s">
        <v>971</v>
      </c>
      <c r="C74" s="169">
        <v>4440</v>
      </c>
      <c r="D74" s="170">
        <f t="shared" si="4"/>
        <v>4440</v>
      </c>
      <c r="E74" s="114"/>
      <c r="F74" s="129">
        <f t="shared" si="6"/>
        <v>0</v>
      </c>
      <c r="G74" s="155"/>
    </row>
    <row r="75" spans="1:7" ht="12.75" customHeight="1" x14ac:dyDescent="0.2">
      <c r="A75" s="112" t="s">
        <v>881</v>
      </c>
      <c r="B75" s="113" t="s">
        <v>730</v>
      </c>
      <c r="C75" s="169">
        <v>1543.6</v>
      </c>
      <c r="D75" s="170">
        <f t="shared" si="4"/>
        <v>1586.37</v>
      </c>
      <c r="E75" s="145"/>
      <c r="F75" s="142">
        <f t="shared" si="6"/>
        <v>42.77</v>
      </c>
      <c r="G75" s="155">
        <v>42.77</v>
      </c>
    </row>
    <row r="76" spans="1:7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4"/>
        <v>2360.16</v>
      </c>
      <c r="E76" s="145"/>
      <c r="F76" s="146">
        <f t="shared" si="6"/>
        <v>0</v>
      </c>
      <c r="G76" s="155"/>
    </row>
    <row r="77" spans="1:7" ht="12.75" customHeight="1" x14ac:dyDescent="0.2">
      <c r="A77" s="112" t="s">
        <v>914</v>
      </c>
      <c r="B77" s="113" t="s">
        <v>916</v>
      </c>
      <c r="C77" s="169"/>
      <c r="D77" s="170">
        <f t="shared" si="4"/>
        <v>0</v>
      </c>
      <c r="E77" s="114"/>
      <c r="F77" s="129">
        <f t="shared" si="6"/>
        <v>0</v>
      </c>
      <c r="G77" s="155"/>
    </row>
    <row r="78" spans="1:7" ht="12.75" customHeight="1" x14ac:dyDescent="0.2">
      <c r="A78" s="112" t="s">
        <v>915</v>
      </c>
      <c r="B78" s="113" t="s">
        <v>917</v>
      </c>
      <c r="C78" s="169"/>
      <c r="D78" s="170">
        <f t="shared" si="4"/>
        <v>0</v>
      </c>
      <c r="E78" s="114"/>
      <c r="F78" s="129">
        <f t="shared" si="6"/>
        <v>0</v>
      </c>
      <c r="G78" s="155"/>
    </row>
    <row r="79" spans="1:7" ht="12.75" customHeight="1" x14ac:dyDescent="0.2">
      <c r="A79" s="112" t="s">
        <v>921</v>
      </c>
      <c r="B79" s="113" t="s">
        <v>922</v>
      </c>
      <c r="C79" s="169"/>
      <c r="D79" s="170">
        <f t="shared" si="4"/>
        <v>0</v>
      </c>
      <c r="E79" s="114"/>
      <c r="F79" s="129">
        <f t="shared" si="6"/>
        <v>0</v>
      </c>
      <c r="G79" s="155"/>
    </row>
    <row r="80" spans="1:7" ht="12.75" customHeight="1" x14ac:dyDescent="0.2">
      <c r="A80" s="112" t="s">
        <v>700</v>
      </c>
      <c r="B80" s="113" t="s">
        <v>884</v>
      </c>
      <c r="C80" s="169">
        <v>87</v>
      </c>
      <c r="D80" s="170">
        <f t="shared" si="4"/>
        <v>87</v>
      </c>
      <c r="E80" s="114"/>
      <c r="F80" s="129">
        <f t="shared" si="6"/>
        <v>0</v>
      </c>
      <c r="G80" s="155"/>
    </row>
    <row r="81" spans="1:7" ht="12.75" customHeight="1" x14ac:dyDescent="0.2">
      <c r="A81" s="112" t="s">
        <v>601</v>
      </c>
      <c r="B81" s="113" t="s">
        <v>885</v>
      </c>
      <c r="C81" s="169"/>
      <c r="D81" s="170">
        <f t="shared" si="4"/>
        <v>0</v>
      </c>
      <c r="E81" s="114"/>
      <c r="F81" s="129">
        <f t="shared" si="6"/>
        <v>0</v>
      </c>
      <c r="G81" s="155"/>
    </row>
    <row r="82" spans="1:7" ht="12.75" customHeight="1" x14ac:dyDescent="0.2">
      <c r="A82" s="112" t="s">
        <v>886</v>
      </c>
      <c r="B82" s="113" t="s">
        <v>887</v>
      </c>
      <c r="C82" s="169"/>
      <c r="D82" s="170">
        <f t="shared" si="4"/>
        <v>0</v>
      </c>
      <c r="E82" s="114"/>
      <c r="F82" s="129">
        <f t="shared" si="6"/>
        <v>0</v>
      </c>
      <c r="G82" s="155"/>
    </row>
    <row r="83" spans="1:7" ht="12.75" customHeight="1" x14ac:dyDescent="0.2">
      <c r="A83" s="112" t="s">
        <v>282</v>
      </c>
      <c r="B83" s="113" t="s">
        <v>888</v>
      </c>
      <c r="C83" s="169"/>
      <c r="D83" s="170">
        <f t="shared" si="4"/>
        <v>0</v>
      </c>
      <c r="E83" s="114"/>
      <c r="F83" s="129">
        <f t="shared" si="6"/>
        <v>0</v>
      </c>
      <c r="G83" s="155"/>
    </row>
    <row r="84" spans="1:7" ht="12.75" customHeight="1" x14ac:dyDescent="0.2">
      <c r="A84" s="112" t="s">
        <v>889</v>
      </c>
      <c r="B84" s="113" t="s">
        <v>890</v>
      </c>
      <c r="C84" s="169">
        <v>265</v>
      </c>
      <c r="D84" s="170">
        <f t="shared" si="4"/>
        <v>625</v>
      </c>
      <c r="E84" s="145"/>
      <c r="F84" s="142">
        <f t="shared" si="6"/>
        <v>360</v>
      </c>
      <c r="G84" s="155">
        <v>360</v>
      </c>
    </row>
    <row r="85" spans="1:7" ht="12.75" customHeight="1" x14ac:dyDescent="0.2">
      <c r="A85" s="108" t="s">
        <v>891</v>
      </c>
      <c r="B85" s="113" t="s">
        <v>892</v>
      </c>
      <c r="C85" s="169">
        <v>70.09</v>
      </c>
      <c r="D85" s="170">
        <f t="shared" si="4"/>
        <v>70.09</v>
      </c>
      <c r="E85" s="114"/>
      <c r="F85" s="129">
        <f t="shared" si="6"/>
        <v>0</v>
      </c>
      <c r="G85" s="155"/>
    </row>
    <row r="86" spans="1:7" ht="12.75" customHeight="1" x14ac:dyDescent="0.2">
      <c r="A86" s="112" t="s">
        <v>704</v>
      </c>
      <c r="B86" s="113" t="s">
        <v>893</v>
      </c>
      <c r="C86" s="169"/>
      <c r="D86" s="170">
        <f t="shared" si="4"/>
        <v>0</v>
      </c>
      <c r="E86" s="114"/>
      <c r="F86" s="129">
        <f t="shared" si="6"/>
        <v>0</v>
      </c>
      <c r="G86" s="155"/>
    </row>
    <row r="87" spans="1:7" ht="12.75" customHeight="1" x14ac:dyDescent="0.2">
      <c r="A87" s="112" t="s">
        <v>894</v>
      </c>
      <c r="B87" s="113" t="s">
        <v>3</v>
      </c>
      <c r="C87" s="169"/>
      <c r="D87" s="170">
        <f t="shared" si="4"/>
        <v>0</v>
      </c>
      <c r="E87" s="114"/>
      <c r="F87" s="129">
        <f t="shared" si="6"/>
        <v>0</v>
      </c>
      <c r="G87" s="155"/>
    </row>
    <row r="88" spans="1:7" ht="12.75" customHeight="1" x14ac:dyDescent="0.2">
      <c r="A88" s="112" t="s">
        <v>895</v>
      </c>
      <c r="B88" s="113" t="s">
        <v>896</v>
      </c>
      <c r="C88" s="169"/>
      <c r="D88" s="170">
        <f t="shared" si="4"/>
        <v>0</v>
      </c>
      <c r="E88" s="114"/>
      <c r="F88" s="129">
        <f t="shared" si="6"/>
        <v>0</v>
      </c>
      <c r="G88" s="155"/>
    </row>
    <row r="89" spans="1:7" ht="12.75" customHeight="1" x14ac:dyDescent="0.2">
      <c r="A89" s="112" t="s">
        <v>897</v>
      </c>
      <c r="B89" s="113" t="s">
        <v>92</v>
      </c>
      <c r="C89" s="169"/>
      <c r="D89" s="170">
        <f t="shared" si="4"/>
        <v>0</v>
      </c>
      <c r="E89" s="114"/>
      <c r="F89" s="129">
        <f t="shared" si="6"/>
        <v>0</v>
      </c>
      <c r="G89" s="155"/>
    </row>
    <row r="90" spans="1:7" ht="12.75" customHeight="1" x14ac:dyDescent="0.2">
      <c r="A90" s="112" t="s">
        <v>291</v>
      </c>
      <c r="B90" s="113" t="s">
        <v>14</v>
      </c>
      <c r="C90" s="169">
        <v>281.81</v>
      </c>
      <c r="D90" s="170">
        <f t="shared" si="4"/>
        <v>281.81</v>
      </c>
      <c r="E90" s="145"/>
      <c r="F90" s="142">
        <f t="shared" si="6"/>
        <v>0</v>
      </c>
      <c r="G90" s="155"/>
    </row>
    <row r="91" spans="1:7" ht="12.75" customHeight="1" x14ac:dyDescent="0.2">
      <c r="A91" s="112" t="s">
        <v>898</v>
      </c>
      <c r="B91" s="113" t="s">
        <v>969</v>
      </c>
      <c r="C91" s="169">
        <v>2210</v>
      </c>
      <c r="D91" s="170">
        <f t="shared" si="4"/>
        <v>2210</v>
      </c>
      <c r="E91" s="114"/>
      <c r="F91" s="129">
        <f t="shared" si="6"/>
        <v>0</v>
      </c>
      <c r="G91" s="155"/>
    </row>
    <row r="92" spans="1:7" ht="12.75" customHeight="1" x14ac:dyDescent="0.2">
      <c r="A92" s="112" t="s">
        <v>372</v>
      </c>
      <c r="B92" s="113" t="s">
        <v>164</v>
      </c>
      <c r="C92" s="169"/>
      <c r="D92" s="170">
        <f t="shared" si="4"/>
        <v>0</v>
      </c>
      <c r="E92" s="114"/>
      <c r="F92" s="129">
        <f t="shared" si="6"/>
        <v>0</v>
      </c>
      <c r="G92" s="155"/>
    </row>
    <row r="93" spans="1:7" ht="12.75" customHeight="1" x14ac:dyDescent="0.2">
      <c r="A93" s="112" t="s">
        <v>899</v>
      </c>
      <c r="B93" s="113" t="s">
        <v>15</v>
      </c>
      <c r="C93" s="169">
        <v>2352.79</v>
      </c>
      <c r="D93" s="170">
        <f t="shared" si="4"/>
        <v>2652.79</v>
      </c>
      <c r="E93" s="145"/>
      <c r="F93" s="142">
        <f t="shared" si="6"/>
        <v>300</v>
      </c>
      <c r="G93" s="155">
        <v>300</v>
      </c>
    </row>
    <row r="94" spans="1:7" ht="12.75" customHeight="1" x14ac:dyDescent="0.2">
      <c r="A94" s="112" t="s">
        <v>900</v>
      </c>
      <c r="B94" s="113" t="s">
        <v>982</v>
      </c>
      <c r="C94" s="169"/>
      <c r="D94" s="170">
        <f t="shared" si="4"/>
        <v>0</v>
      </c>
      <c r="E94" s="145"/>
      <c r="F94" s="142">
        <f t="shared" si="6"/>
        <v>0</v>
      </c>
      <c r="G94" s="155"/>
    </row>
    <row r="95" spans="1:7" ht="12.75" customHeight="1" x14ac:dyDescent="0.2">
      <c r="A95" s="115" t="s">
        <v>977</v>
      </c>
      <c r="B95" s="108" t="s">
        <v>989</v>
      </c>
      <c r="C95" s="169"/>
      <c r="D95" s="170">
        <f t="shared" si="4"/>
        <v>0</v>
      </c>
      <c r="E95" s="126"/>
      <c r="F95" s="129">
        <f t="shared" si="6"/>
        <v>0</v>
      </c>
      <c r="G95" s="155"/>
    </row>
    <row r="96" spans="1:7" ht="12.75" customHeight="1" x14ac:dyDescent="0.2">
      <c r="A96" s="115" t="s">
        <v>978</v>
      </c>
      <c r="B96" s="108" t="s">
        <v>990</v>
      </c>
      <c r="C96" s="169"/>
      <c r="D96" s="170">
        <f t="shared" ref="D96:D111" si="7">+C96+F96</f>
        <v>0</v>
      </c>
      <c r="E96" s="145"/>
      <c r="F96" s="142">
        <f t="shared" si="6"/>
        <v>0</v>
      </c>
      <c r="G96" s="155"/>
    </row>
    <row r="97" spans="1:7" ht="12.75" customHeight="1" x14ac:dyDescent="0.2">
      <c r="A97" s="115" t="s">
        <v>979</v>
      </c>
      <c r="B97" s="108" t="s">
        <v>991</v>
      </c>
      <c r="C97" s="169"/>
      <c r="D97" s="170">
        <f t="shared" si="7"/>
        <v>0</v>
      </c>
      <c r="E97" s="114"/>
      <c r="F97" s="129">
        <f t="shared" si="6"/>
        <v>0</v>
      </c>
      <c r="G97" s="155"/>
    </row>
    <row r="98" spans="1:7" ht="12.75" customHeight="1" x14ac:dyDescent="0.2">
      <c r="A98" s="115" t="s">
        <v>980</v>
      </c>
      <c r="B98" s="108" t="s">
        <v>992</v>
      </c>
      <c r="C98" s="169"/>
      <c r="D98" s="170">
        <f t="shared" si="7"/>
        <v>0</v>
      </c>
      <c r="E98" s="114"/>
      <c r="F98" s="129">
        <f t="shared" si="6"/>
        <v>0</v>
      </c>
      <c r="G98" s="155"/>
    </row>
    <row r="99" spans="1:7" ht="12.75" customHeight="1" x14ac:dyDescent="0.2">
      <c r="A99" s="115" t="s">
        <v>983</v>
      </c>
      <c r="B99" s="108" t="s">
        <v>993</v>
      </c>
      <c r="C99" s="169"/>
      <c r="D99" s="170">
        <f t="shared" si="7"/>
        <v>0</v>
      </c>
      <c r="E99" s="114"/>
      <c r="F99" s="129">
        <f t="shared" si="6"/>
        <v>0</v>
      </c>
      <c r="G99" s="155"/>
    </row>
    <row r="100" spans="1:7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7"/>
        <v>451.02</v>
      </c>
      <c r="E100" s="114"/>
      <c r="F100" s="129">
        <f t="shared" si="6"/>
        <v>0</v>
      </c>
      <c r="G100" s="155"/>
    </row>
    <row r="101" spans="1:7" ht="12.75" customHeight="1" x14ac:dyDescent="0.2">
      <c r="A101" s="115" t="s">
        <v>1017</v>
      </c>
      <c r="B101" s="108" t="s">
        <v>1018</v>
      </c>
      <c r="C101" s="169"/>
      <c r="D101" s="170">
        <f t="shared" si="7"/>
        <v>0</v>
      </c>
      <c r="E101" s="114"/>
      <c r="F101" s="129"/>
      <c r="G101" s="155"/>
    </row>
    <row r="102" spans="1:7" ht="12.75" customHeight="1" x14ac:dyDescent="0.2">
      <c r="A102" s="115" t="s">
        <v>1016</v>
      </c>
      <c r="B102" s="108" t="s">
        <v>1015</v>
      </c>
      <c r="C102" s="169"/>
      <c r="D102" s="170">
        <f t="shared" si="7"/>
        <v>0</v>
      </c>
      <c r="E102" s="114"/>
      <c r="F102" s="129"/>
      <c r="G102" s="155"/>
    </row>
    <row r="103" spans="1:7" ht="12.75" customHeight="1" x14ac:dyDescent="0.2">
      <c r="A103" s="112" t="s">
        <v>901</v>
      </c>
      <c r="B103" s="113" t="s">
        <v>902</v>
      </c>
      <c r="C103" s="169">
        <v>2438.1799999999998</v>
      </c>
      <c r="D103" s="170">
        <f t="shared" si="7"/>
        <v>2438.1799999999998</v>
      </c>
      <c r="E103" s="114"/>
      <c r="F103" s="129">
        <f t="shared" ref="F103:F111" si="8">SUM(G103:G103)</f>
        <v>0</v>
      </c>
      <c r="G103" s="155"/>
    </row>
    <row r="104" spans="1:7" ht="12.75" customHeight="1" x14ac:dyDescent="0.2">
      <c r="A104" s="112" t="s">
        <v>903</v>
      </c>
      <c r="B104" s="113" t="s">
        <v>739</v>
      </c>
      <c r="C104" s="169">
        <v>5487.69</v>
      </c>
      <c r="D104" s="170">
        <f t="shared" si="7"/>
        <v>5903.19</v>
      </c>
      <c r="E104" s="145"/>
      <c r="F104" s="142">
        <f t="shared" si="8"/>
        <v>415.5</v>
      </c>
      <c r="G104" s="155">
        <v>415.5</v>
      </c>
    </row>
    <row r="105" spans="1:7" ht="12.75" customHeight="1" x14ac:dyDescent="0.2">
      <c r="A105" s="117" t="s">
        <v>918</v>
      </c>
      <c r="B105" s="118" t="s">
        <v>970</v>
      </c>
      <c r="C105" s="169"/>
      <c r="D105" s="170">
        <f t="shared" si="7"/>
        <v>0</v>
      </c>
      <c r="E105" s="119"/>
      <c r="F105" s="129">
        <f t="shared" si="8"/>
        <v>0</v>
      </c>
      <c r="G105" s="155"/>
    </row>
    <row r="106" spans="1:7" ht="12.75" customHeight="1" x14ac:dyDescent="0.2">
      <c r="A106" s="117" t="s">
        <v>904</v>
      </c>
      <c r="B106" s="118" t="s">
        <v>905</v>
      </c>
      <c r="C106" s="169">
        <v>3374.99</v>
      </c>
      <c r="D106" s="170">
        <f t="shared" si="7"/>
        <v>3374.99</v>
      </c>
      <c r="E106" s="114"/>
      <c r="F106" s="129">
        <f t="shared" si="8"/>
        <v>0</v>
      </c>
      <c r="G106" s="155"/>
    </row>
    <row r="107" spans="1:7" ht="12.75" customHeight="1" x14ac:dyDescent="0.2">
      <c r="A107" s="117" t="s">
        <v>906</v>
      </c>
      <c r="B107" s="118" t="s">
        <v>907</v>
      </c>
      <c r="C107" s="169">
        <v>5897.5</v>
      </c>
      <c r="D107" s="170">
        <f t="shared" si="7"/>
        <v>5897.5</v>
      </c>
      <c r="E107" s="114"/>
      <c r="F107" s="129">
        <f t="shared" si="8"/>
        <v>0</v>
      </c>
      <c r="G107" s="155"/>
    </row>
    <row r="108" spans="1:7" ht="12.75" customHeight="1" x14ac:dyDescent="0.2">
      <c r="A108" s="117" t="s">
        <v>908</v>
      </c>
      <c r="B108" s="118" t="s">
        <v>909</v>
      </c>
      <c r="C108" s="169">
        <v>516.66</v>
      </c>
      <c r="D108" s="170">
        <f t="shared" si="7"/>
        <v>547.85</v>
      </c>
      <c r="E108" s="145"/>
      <c r="F108" s="142">
        <f t="shared" si="8"/>
        <v>31.19</v>
      </c>
      <c r="G108" s="155">
        <v>31.19</v>
      </c>
    </row>
    <row r="109" spans="1:7" ht="12.75" customHeight="1" x14ac:dyDescent="0.2">
      <c r="A109" s="117" t="s">
        <v>910</v>
      </c>
      <c r="B109" s="118" t="s">
        <v>911</v>
      </c>
      <c r="C109" s="169">
        <v>51.81</v>
      </c>
      <c r="D109" s="170">
        <f t="shared" si="7"/>
        <v>51.81</v>
      </c>
      <c r="E109" s="145"/>
      <c r="F109" s="146">
        <f t="shared" si="8"/>
        <v>0</v>
      </c>
      <c r="G109" s="155"/>
    </row>
    <row r="110" spans="1:7" ht="12.75" customHeight="1" x14ac:dyDescent="0.2">
      <c r="A110" s="117" t="s">
        <v>912</v>
      </c>
      <c r="B110" s="118" t="s">
        <v>821</v>
      </c>
      <c r="C110" s="169"/>
      <c r="D110" s="170">
        <f t="shared" si="7"/>
        <v>0</v>
      </c>
      <c r="E110" s="119"/>
      <c r="F110" s="129">
        <f t="shared" si="8"/>
        <v>0</v>
      </c>
      <c r="G110" s="155"/>
    </row>
    <row r="111" spans="1:7" ht="12.75" customHeight="1" thickBot="1" x14ac:dyDescent="0.25">
      <c r="A111" s="120" t="s">
        <v>919</v>
      </c>
      <c r="B111" s="121" t="s">
        <v>920</v>
      </c>
      <c r="C111" s="171"/>
      <c r="D111" s="172">
        <f t="shared" si="7"/>
        <v>0</v>
      </c>
      <c r="E111" s="122"/>
      <c r="F111" s="130">
        <f t="shared" si="8"/>
        <v>0</v>
      </c>
      <c r="G111" s="159"/>
    </row>
    <row r="112" spans="1:7" ht="11.1" customHeight="1" x14ac:dyDescent="0.2">
      <c r="C112" s="140"/>
      <c r="D112" s="140"/>
      <c r="E112" s="126"/>
      <c r="F112" s="127"/>
    </row>
    <row r="113" spans="3:7" ht="11.1" customHeight="1" x14ac:dyDescent="0.2">
      <c r="C113" s="140"/>
      <c r="D113" s="140">
        <f>SUM(D32:D111)</f>
        <v>-12971.140000000003</v>
      </c>
      <c r="E113" s="126"/>
      <c r="F113" s="128"/>
      <c r="G113" s="141">
        <f t="shared" ref="G113" si="9">SUM(G4:G111)</f>
        <v>-5.3290705182007514E-14</v>
      </c>
    </row>
    <row r="114" spans="3:7" ht="11.1" customHeight="1" x14ac:dyDescent="0.2">
      <c r="C114" s="140"/>
      <c r="D114" s="140"/>
      <c r="E114" s="126"/>
      <c r="F114" s="128"/>
    </row>
    <row r="115" spans="3:7" ht="11.1" customHeight="1" x14ac:dyDescent="0.2">
      <c r="C115" s="140"/>
      <c r="D115" s="140">
        <f>ROUND(SUM(D4:D111),2)</f>
        <v>0</v>
      </c>
      <c r="E115" s="126"/>
      <c r="F115" s="128"/>
    </row>
    <row r="116" spans="3:7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G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6"/>
  <sheetViews>
    <sheetView topLeftCell="A91" zoomScale="115" zoomScaleNormal="115" zoomScaleSheetLayoutView="70" workbookViewId="0">
      <pane xSplit="3" topLeftCell="D1" activePane="topRight" state="frozen"/>
      <selection pane="topRight" activeCell="B104" sqref="B104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5.42578125" style="141" bestFit="1" customWidth="1"/>
    <col min="8" max="8" width="15.28515625" style="141" customWidth="1"/>
    <col min="9" max="10" width="14.28515625" style="141" bestFit="1" customWidth="1"/>
    <col min="11" max="13" width="13" style="141" customWidth="1"/>
    <col min="14" max="14" width="13" style="164" customWidth="1"/>
    <col min="15" max="15" width="13" style="165" customWidth="1"/>
    <col min="16" max="18" width="13" style="141" customWidth="1"/>
    <col min="19" max="16384" width="9.140625" style="108"/>
  </cols>
  <sheetData>
    <row r="1" spans="1:18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7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5"/>
    </row>
    <row r="3" spans="1:18" ht="11.1" customHeight="1" thickBot="1" x14ac:dyDescent="0.25">
      <c r="A3" s="109"/>
      <c r="B3" s="109"/>
      <c r="C3" s="135">
        <f>SUM(C4:C111)</f>
        <v>-47446.679999999928</v>
      </c>
      <c r="D3" s="135">
        <f>SUM(D4:D111)</f>
        <v>1.4997070252320555E-10</v>
      </c>
      <c r="E3" s="110"/>
      <c r="F3" s="111">
        <f>SUM(F4:F111)</f>
        <v>47446.67999999992</v>
      </c>
      <c r="G3" s="149" t="s">
        <v>944</v>
      </c>
      <c r="H3" s="150" t="s">
        <v>945</v>
      </c>
      <c r="I3" s="150" t="s">
        <v>946</v>
      </c>
      <c r="J3" s="150" t="s">
        <v>947</v>
      </c>
      <c r="K3" s="150" t="s">
        <v>948</v>
      </c>
      <c r="L3" s="150" t="s">
        <v>949</v>
      </c>
      <c r="M3" s="150" t="s">
        <v>950</v>
      </c>
      <c r="N3" s="150" t="s">
        <v>951</v>
      </c>
      <c r="O3" s="150" t="s">
        <v>952</v>
      </c>
      <c r="P3" s="150" t="s">
        <v>953</v>
      </c>
      <c r="Q3" s="150" t="s">
        <v>954</v>
      </c>
      <c r="R3" s="151" t="s">
        <v>955</v>
      </c>
    </row>
    <row r="4" spans="1:18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>SUM(G4:R4)</f>
        <v>0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18" ht="12.75" customHeight="1" x14ac:dyDescent="0.2">
      <c r="A5" s="112" t="s">
        <v>787</v>
      </c>
      <c r="B5" s="113" t="s">
        <v>154</v>
      </c>
      <c r="C5" s="136">
        <v>861810</v>
      </c>
      <c r="D5" s="142">
        <f t="shared" si="0"/>
        <v>861810</v>
      </c>
      <c r="E5" s="114" t="s">
        <v>938</v>
      </c>
      <c r="F5" s="129">
        <f t="shared" ref="F5:F29" si="1">SUM(G5:R5)</f>
        <v>0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18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1:18" ht="12.75" customHeight="1" x14ac:dyDescent="0.2">
      <c r="A7" s="112" t="s">
        <v>789</v>
      </c>
      <c r="B7" s="113" t="s">
        <v>790</v>
      </c>
      <c r="C7" s="136">
        <v>1000</v>
      </c>
      <c r="D7" s="142">
        <f t="shared" si="0"/>
        <v>1000</v>
      </c>
      <c r="E7" s="114" t="s">
        <v>934</v>
      </c>
      <c r="F7" s="129">
        <f t="shared" si="1"/>
        <v>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1:18" ht="12.75" customHeight="1" x14ac:dyDescent="0.2">
      <c r="A8" s="112" t="s">
        <v>791</v>
      </c>
      <c r="B8" s="113" t="s">
        <v>792</v>
      </c>
      <c r="C8" s="136">
        <v>446</v>
      </c>
      <c r="D8" s="142">
        <f t="shared" si="0"/>
        <v>446</v>
      </c>
      <c r="E8" s="114" t="s">
        <v>934</v>
      </c>
      <c r="F8" s="129">
        <f t="shared" si="1"/>
        <v>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</row>
    <row r="9" spans="1:18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</row>
    <row r="10" spans="1:18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</row>
    <row r="11" spans="1:18" ht="12.75" customHeight="1" x14ac:dyDescent="0.2">
      <c r="A11" s="112" t="s">
        <v>1012</v>
      </c>
      <c r="B11" s="113" t="s">
        <v>1013</v>
      </c>
      <c r="C11" s="136"/>
      <c r="D11" s="142">
        <f t="shared" si="0"/>
        <v>0</v>
      </c>
      <c r="E11" s="114"/>
      <c r="F11" s="129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</row>
    <row r="12" spans="1:18" ht="12.75" customHeight="1" x14ac:dyDescent="0.2">
      <c r="A12" s="112" t="s">
        <v>797</v>
      </c>
      <c r="B12" s="113" t="s">
        <v>798</v>
      </c>
      <c r="C12" s="136">
        <v>-40836.33</v>
      </c>
      <c r="D12" s="142">
        <f t="shared" si="0"/>
        <v>-40836.33</v>
      </c>
      <c r="E12" s="114" t="s">
        <v>933</v>
      </c>
      <c r="F12" s="129">
        <f t="shared" si="1"/>
        <v>0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</row>
    <row r="13" spans="1:18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1"/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1:18" ht="12.75" customHeight="1" x14ac:dyDescent="0.2">
      <c r="A14" s="112" t="s">
        <v>1009</v>
      </c>
      <c r="B14" s="113" t="s">
        <v>1010</v>
      </c>
      <c r="C14" s="140">
        <v>-126</v>
      </c>
      <c r="D14" s="166">
        <f t="shared" si="0"/>
        <v>-126</v>
      </c>
      <c r="E14" s="114" t="s">
        <v>936</v>
      </c>
      <c r="F14" s="129">
        <f t="shared" si="1"/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1:18" ht="12.75" customHeight="1" x14ac:dyDescent="0.2">
      <c r="A15" s="112" t="s">
        <v>816</v>
      </c>
      <c r="B15" s="113" t="s">
        <v>817</v>
      </c>
      <c r="C15" s="136">
        <v>25769</v>
      </c>
      <c r="D15" s="142">
        <f t="shared" si="0"/>
        <v>25769</v>
      </c>
      <c r="E15" s="114" t="s">
        <v>932</v>
      </c>
      <c r="F15" s="129">
        <f t="shared" si="1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</row>
    <row r="16" spans="1:18" ht="12.75" customHeight="1" x14ac:dyDescent="0.2">
      <c r="A16" s="112" t="s">
        <v>783</v>
      </c>
      <c r="B16" s="113" t="s">
        <v>170</v>
      </c>
      <c r="C16" s="136">
        <v>-19148.32</v>
      </c>
      <c r="D16" s="142">
        <f t="shared" si="0"/>
        <v>-19148.32</v>
      </c>
      <c r="E16" s="114" t="s">
        <v>935</v>
      </c>
      <c r="F16" s="129">
        <f t="shared" si="1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5"/>
    </row>
    <row r="17" spans="1:18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1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6"/>
      <c r="R17" s="155"/>
    </row>
    <row r="18" spans="1:18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1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6"/>
      <c r="R18" s="155"/>
    </row>
    <row r="19" spans="1:18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1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6"/>
      <c r="R19" s="155"/>
    </row>
    <row r="20" spans="1:18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1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6"/>
      <c r="R20" s="155"/>
    </row>
    <row r="21" spans="1:18" ht="12.75" customHeight="1" x14ac:dyDescent="0.2">
      <c r="A21" s="112" t="s">
        <v>664</v>
      </c>
      <c r="B21" s="113" t="s">
        <v>1001</v>
      </c>
      <c r="C21" s="136">
        <v>-7178.79</v>
      </c>
      <c r="D21" s="142">
        <f t="shared" si="0"/>
        <v>-7178.79</v>
      </c>
      <c r="E21" s="114" t="s">
        <v>139</v>
      </c>
      <c r="F21" s="129">
        <f t="shared" si="1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6"/>
      <c r="R21" s="155"/>
    </row>
    <row r="22" spans="1:18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6"/>
      <c r="R22" s="155"/>
    </row>
    <row r="23" spans="1:18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si="1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6"/>
      <c r="R23" s="155"/>
    </row>
    <row r="24" spans="1:18" ht="12.75" customHeight="1" x14ac:dyDescent="0.2">
      <c r="A24" s="112" t="s">
        <v>805</v>
      </c>
      <c r="B24" s="113" t="s">
        <v>806</v>
      </c>
      <c r="C24" s="136">
        <v>4109.3900000000003</v>
      </c>
      <c r="D24" s="142">
        <f t="shared" si="0"/>
        <v>0</v>
      </c>
      <c r="E24" s="145" t="s">
        <v>937</v>
      </c>
      <c r="F24" s="142">
        <f>SUM(G24:R24)</f>
        <v>-4109.3900000000003</v>
      </c>
      <c r="G24" s="154"/>
      <c r="H24" s="154"/>
      <c r="I24" s="154"/>
      <c r="J24" s="154">
        <v>-1203.72</v>
      </c>
      <c r="K24" s="154">
        <v>-2905.67</v>
      </c>
      <c r="L24" s="154"/>
      <c r="M24" s="154"/>
      <c r="N24" s="154"/>
      <c r="O24" s="154"/>
      <c r="P24" s="154"/>
      <c r="Q24" s="156"/>
      <c r="R24" s="155"/>
    </row>
    <row r="25" spans="1:18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1"/>
        <v>0</v>
      </c>
      <c r="G25" s="156"/>
      <c r="H25" s="154"/>
      <c r="I25" s="154"/>
      <c r="J25" s="154"/>
      <c r="K25" s="154"/>
      <c r="L25" s="154"/>
      <c r="M25" s="154"/>
      <c r="N25" s="154"/>
      <c r="O25" s="154"/>
      <c r="P25" s="154"/>
      <c r="Q25" s="156"/>
      <c r="R25" s="155"/>
    </row>
    <row r="26" spans="1:18" ht="12.75" customHeight="1" x14ac:dyDescent="0.2">
      <c r="A26" s="112" t="s">
        <v>808</v>
      </c>
      <c r="B26" s="113" t="s">
        <v>809</v>
      </c>
      <c r="C26" s="136">
        <v>-225096.05</v>
      </c>
      <c r="D26" s="142">
        <f t="shared" si="0"/>
        <v>-177649.37000000005</v>
      </c>
      <c r="E26" s="145" t="s">
        <v>139</v>
      </c>
      <c r="F26" s="142">
        <f t="shared" si="1"/>
        <v>47446.679999999928</v>
      </c>
      <c r="G26" s="154">
        <f>-C3</f>
        <v>47446.679999999928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6"/>
      <c r="R26" s="155"/>
    </row>
    <row r="27" spans="1:18" ht="12.75" customHeight="1" x14ac:dyDescent="0.2">
      <c r="A27" s="112" t="s">
        <v>943</v>
      </c>
      <c r="B27" s="113" t="s">
        <v>963</v>
      </c>
      <c r="C27" s="136">
        <v>-44251.88</v>
      </c>
      <c r="D27" s="142">
        <f t="shared" si="0"/>
        <v>-44251.88</v>
      </c>
      <c r="E27" s="114"/>
      <c r="F27" s="129">
        <f t="shared" si="1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6"/>
      <c r="R27" s="155"/>
    </row>
    <row r="28" spans="1:18" ht="12.75" customHeight="1" x14ac:dyDescent="0.2">
      <c r="A28" s="117" t="s">
        <v>810</v>
      </c>
      <c r="B28" s="118" t="s">
        <v>811</v>
      </c>
      <c r="C28" s="136">
        <v>-555352.93999999994</v>
      </c>
      <c r="D28" s="142">
        <f t="shared" si="0"/>
        <v>-555352.93999999994</v>
      </c>
      <c r="E28" s="145" t="s">
        <v>939</v>
      </c>
      <c r="F28" s="142">
        <f t="shared" si="1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6"/>
      <c r="R28" s="155"/>
    </row>
    <row r="29" spans="1:18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1"/>
        <v>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  <c r="R29" s="159"/>
    </row>
    <row r="30" spans="1:18" ht="12.75" customHeight="1" x14ac:dyDescent="0.2">
      <c r="A30" s="123"/>
      <c r="B30" s="124"/>
      <c r="C30" s="137"/>
      <c r="D30" s="137"/>
      <c r="E30" s="125"/>
      <c r="F30" s="131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</row>
    <row r="31" spans="1:18" ht="12.75" customHeight="1" thickBot="1" x14ac:dyDescent="0.25">
      <c r="A31" s="120"/>
      <c r="B31" s="121"/>
      <c r="C31" s="138"/>
      <c r="D31" s="138"/>
      <c r="E31" s="122"/>
      <c r="F31" s="132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2.75" customHeight="1" x14ac:dyDescent="0.2">
      <c r="A32" s="108" t="s">
        <v>822</v>
      </c>
      <c r="B32" s="108" t="s">
        <v>823</v>
      </c>
      <c r="C32" s="136"/>
      <c r="D32" s="142">
        <f t="shared" ref="D32:D64" si="2">+C32+F32</f>
        <v>0</v>
      </c>
      <c r="E32" s="114"/>
      <c r="F32" s="129">
        <f>SUM(G32:R32)</f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6"/>
      <c r="R32" s="155"/>
    </row>
    <row r="33" spans="1:18" ht="12.75" customHeight="1" x14ac:dyDescent="0.2">
      <c r="A33" s="108" t="s">
        <v>824</v>
      </c>
      <c r="B33" s="108" t="s">
        <v>965</v>
      </c>
      <c r="C33" s="139">
        <v>-92452.67</v>
      </c>
      <c r="D33" s="144">
        <f t="shared" si="2"/>
        <v>-92452.67</v>
      </c>
      <c r="E33" s="114"/>
      <c r="F33" s="129">
        <f>SUM(G33:R33)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6"/>
      <c r="R33" s="155"/>
    </row>
    <row r="34" spans="1:18" ht="12.75" customHeight="1" x14ac:dyDescent="0.2">
      <c r="A34" s="108" t="s">
        <v>825</v>
      </c>
      <c r="B34" s="108" t="s">
        <v>826</v>
      </c>
      <c r="C34" s="139"/>
      <c r="D34" s="144">
        <f t="shared" si="2"/>
        <v>0</v>
      </c>
      <c r="E34" s="114"/>
      <c r="F34" s="129">
        <f t="shared" ref="F34:F52" si="3">SUM(G34:R34)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6"/>
      <c r="R34" s="155"/>
    </row>
    <row r="35" spans="1:18" ht="12.75" customHeight="1" x14ac:dyDescent="0.2">
      <c r="A35" s="108" t="s">
        <v>827</v>
      </c>
      <c r="B35" s="108" t="s">
        <v>966</v>
      </c>
      <c r="C35" s="139">
        <v>-1617.88</v>
      </c>
      <c r="D35" s="144">
        <f t="shared" si="2"/>
        <v>-1617.88</v>
      </c>
      <c r="E35" s="114"/>
      <c r="F35" s="129">
        <f t="shared" si="3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/>
      <c r="R35" s="155"/>
    </row>
    <row r="36" spans="1:18" ht="12.75" customHeight="1" x14ac:dyDescent="0.2">
      <c r="A36" s="108" t="s">
        <v>828</v>
      </c>
      <c r="B36" s="108" t="s">
        <v>782</v>
      </c>
      <c r="C36" s="139">
        <v>-12</v>
      </c>
      <c r="D36" s="144">
        <f t="shared" si="2"/>
        <v>-12</v>
      </c>
      <c r="E36" s="114"/>
      <c r="F36" s="129">
        <f t="shared" si="3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6"/>
      <c r="R36" s="155"/>
    </row>
    <row r="37" spans="1:18" ht="12.75" customHeight="1" x14ac:dyDescent="0.2">
      <c r="A37" s="112" t="s">
        <v>829</v>
      </c>
      <c r="B37" s="112" t="s">
        <v>830</v>
      </c>
      <c r="C37" s="139"/>
      <c r="D37" s="144">
        <f t="shared" si="2"/>
        <v>0</v>
      </c>
      <c r="E37" s="114"/>
      <c r="F37" s="129">
        <f t="shared" si="3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6"/>
      <c r="R37" s="155"/>
    </row>
    <row r="38" spans="1:18" ht="12.75" customHeight="1" x14ac:dyDescent="0.2">
      <c r="A38" s="112" t="s">
        <v>831</v>
      </c>
      <c r="B38" s="113" t="s">
        <v>832</v>
      </c>
      <c r="C38" s="167">
        <v>-1489.58</v>
      </c>
      <c r="D38" s="168">
        <f t="shared" si="2"/>
        <v>-1489.58</v>
      </c>
      <c r="E38" s="114"/>
      <c r="F38" s="129">
        <f t="shared" si="3"/>
        <v>0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6"/>
      <c r="R38" s="155"/>
    </row>
    <row r="39" spans="1:18" ht="12.75" customHeight="1" x14ac:dyDescent="0.2">
      <c r="A39" s="112" t="s">
        <v>833</v>
      </c>
      <c r="B39" s="113" t="s">
        <v>834</v>
      </c>
      <c r="C39" s="139"/>
      <c r="D39" s="144">
        <f t="shared" si="2"/>
        <v>0</v>
      </c>
      <c r="E39" s="114"/>
      <c r="F39" s="129">
        <f t="shared" si="3"/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6"/>
      <c r="R39" s="155"/>
    </row>
    <row r="40" spans="1:18" ht="12.75" customHeight="1" x14ac:dyDescent="0.2">
      <c r="A40" s="112" t="s">
        <v>835</v>
      </c>
      <c r="B40" s="113" t="s">
        <v>836</v>
      </c>
      <c r="C40" s="139">
        <v>-1050.8</v>
      </c>
      <c r="D40" s="144">
        <f t="shared" si="2"/>
        <v>-1050.8</v>
      </c>
      <c r="E40" s="114"/>
      <c r="F40" s="129">
        <f t="shared" si="3"/>
        <v>0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6"/>
      <c r="R40" s="155"/>
    </row>
    <row r="41" spans="1:18" ht="12.75" customHeight="1" x14ac:dyDescent="0.2">
      <c r="A41" s="112" t="s">
        <v>837</v>
      </c>
      <c r="B41" s="113" t="s">
        <v>838</v>
      </c>
      <c r="C41" s="139"/>
      <c r="D41" s="144">
        <f t="shared" si="2"/>
        <v>0</v>
      </c>
      <c r="E41" s="114"/>
      <c r="F41" s="129">
        <f t="shared" si="3"/>
        <v>0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6"/>
      <c r="R41" s="155"/>
    </row>
    <row r="42" spans="1:18" ht="12.75" customHeight="1" x14ac:dyDescent="0.2">
      <c r="A42" s="112" t="s">
        <v>839</v>
      </c>
      <c r="B42" s="113" t="s">
        <v>5</v>
      </c>
      <c r="C42" s="139"/>
      <c r="D42" s="144">
        <f t="shared" si="2"/>
        <v>0</v>
      </c>
      <c r="E42" s="114"/>
      <c r="F42" s="129">
        <f t="shared" si="3"/>
        <v>0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6"/>
      <c r="R42" s="155"/>
    </row>
    <row r="43" spans="1:18" ht="12.75" customHeight="1" x14ac:dyDescent="0.2">
      <c r="A43" s="112" t="s">
        <v>840</v>
      </c>
      <c r="B43" s="113" t="s">
        <v>6</v>
      </c>
      <c r="C43" s="139"/>
      <c r="D43" s="144">
        <f t="shared" si="2"/>
        <v>0</v>
      </c>
      <c r="E43" s="114"/>
      <c r="F43" s="129">
        <f t="shared" si="3"/>
        <v>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6"/>
      <c r="R43" s="155"/>
    </row>
    <row r="44" spans="1:18" ht="12.75" customHeight="1" x14ac:dyDescent="0.2">
      <c r="A44" s="112" t="s">
        <v>841</v>
      </c>
      <c r="B44" s="113" t="s">
        <v>92</v>
      </c>
      <c r="C44" s="139"/>
      <c r="D44" s="144">
        <f t="shared" si="2"/>
        <v>0</v>
      </c>
      <c r="E44" s="114"/>
      <c r="F44" s="129">
        <f t="shared" si="3"/>
        <v>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6"/>
      <c r="R44" s="155"/>
    </row>
    <row r="45" spans="1:18" ht="12.75" customHeight="1" x14ac:dyDescent="0.2">
      <c r="A45" s="112" t="s">
        <v>842</v>
      </c>
      <c r="B45" s="113" t="s">
        <v>843</v>
      </c>
      <c r="C45" s="139">
        <v>-156309.71</v>
      </c>
      <c r="D45" s="144">
        <f t="shared" si="2"/>
        <v>-156309.71</v>
      </c>
      <c r="E45" s="114"/>
      <c r="F45" s="129">
        <f t="shared" si="3"/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6"/>
      <c r="R45" s="155"/>
    </row>
    <row r="46" spans="1:18" ht="12.75" customHeight="1" x14ac:dyDescent="0.2">
      <c r="A46" s="112" t="s">
        <v>959</v>
      </c>
      <c r="B46" s="113" t="s">
        <v>960</v>
      </c>
      <c r="C46" s="139"/>
      <c r="D46" s="144">
        <f t="shared" si="2"/>
        <v>0</v>
      </c>
      <c r="E46" s="114"/>
      <c r="F46" s="129">
        <f t="shared" si="3"/>
        <v>0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6"/>
      <c r="R46" s="155"/>
    </row>
    <row r="47" spans="1:18" ht="12.75" customHeight="1" x14ac:dyDescent="0.2">
      <c r="A47" s="112" t="s">
        <v>844</v>
      </c>
      <c r="B47" s="113" t="s">
        <v>845</v>
      </c>
      <c r="C47" s="139"/>
      <c r="D47" s="144">
        <f t="shared" si="2"/>
        <v>0</v>
      </c>
      <c r="E47" s="114"/>
      <c r="F47" s="129">
        <f t="shared" si="3"/>
        <v>0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6"/>
      <c r="R47" s="155"/>
    </row>
    <row r="48" spans="1:18" ht="12.75" customHeight="1" x14ac:dyDescent="0.2">
      <c r="A48" s="112" t="s">
        <v>846</v>
      </c>
      <c r="B48" s="113" t="s">
        <v>847</v>
      </c>
      <c r="C48" s="139"/>
      <c r="D48" s="144">
        <f t="shared" si="2"/>
        <v>0</v>
      </c>
      <c r="E48" s="114"/>
      <c r="F48" s="129">
        <f t="shared" si="3"/>
        <v>0</v>
      </c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6"/>
      <c r="R48" s="155"/>
    </row>
    <row r="49" spans="1:18" ht="12.75" customHeight="1" x14ac:dyDescent="0.2">
      <c r="A49" s="112" t="s">
        <v>848</v>
      </c>
      <c r="B49" s="113" t="s">
        <v>849</v>
      </c>
      <c r="C49" s="139"/>
      <c r="D49" s="144">
        <f t="shared" si="2"/>
        <v>0</v>
      </c>
      <c r="E49" s="114"/>
      <c r="F49" s="129">
        <f t="shared" si="3"/>
        <v>0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6"/>
      <c r="R49" s="155"/>
    </row>
    <row r="50" spans="1:18" ht="12.75" customHeight="1" x14ac:dyDescent="0.2">
      <c r="A50" s="115" t="s">
        <v>974</v>
      </c>
      <c r="B50" s="115" t="s">
        <v>986</v>
      </c>
      <c r="C50" s="139">
        <v>-525</v>
      </c>
      <c r="D50" s="144">
        <f t="shared" si="2"/>
        <v>-525</v>
      </c>
      <c r="E50" s="114"/>
      <c r="F50" s="129">
        <f t="shared" si="3"/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55"/>
    </row>
    <row r="51" spans="1:18" ht="12.75" customHeight="1" x14ac:dyDescent="0.2">
      <c r="A51" s="115" t="s">
        <v>975</v>
      </c>
      <c r="B51" s="115" t="s">
        <v>987</v>
      </c>
      <c r="C51" s="139"/>
      <c r="D51" s="144">
        <f t="shared" si="2"/>
        <v>0</v>
      </c>
      <c r="E51" s="114"/>
      <c r="F51" s="129">
        <f t="shared" si="3"/>
        <v>0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6"/>
      <c r="R51" s="155"/>
    </row>
    <row r="52" spans="1:18" ht="12.75" customHeight="1" x14ac:dyDescent="0.2">
      <c r="A52" s="115" t="s">
        <v>976</v>
      </c>
      <c r="B52" s="115" t="s">
        <v>988</v>
      </c>
      <c r="C52" s="139"/>
      <c r="D52" s="144">
        <f t="shared" si="2"/>
        <v>0</v>
      </c>
      <c r="E52" s="114"/>
      <c r="F52" s="129">
        <f t="shared" si="3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6"/>
      <c r="R52" s="155"/>
    </row>
    <row r="53" spans="1:18" ht="12.75" customHeight="1" x14ac:dyDescent="0.2">
      <c r="A53" s="115" t="s">
        <v>1014</v>
      </c>
      <c r="B53" s="115" t="s">
        <v>1015</v>
      </c>
      <c r="C53" s="139"/>
      <c r="D53" s="144">
        <f t="shared" si="2"/>
        <v>0</v>
      </c>
      <c r="E53" s="114"/>
      <c r="F53" s="129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6"/>
      <c r="R53" s="155"/>
    </row>
    <row r="54" spans="1:18" ht="12.75" customHeight="1" x14ac:dyDescent="0.2">
      <c r="A54" s="112" t="s">
        <v>850</v>
      </c>
      <c r="B54" s="113" t="s">
        <v>967</v>
      </c>
      <c r="C54" s="169">
        <v>23467.5</v>
      </c>
      <c r="D54" s="170">
        <f t="shared" si="2"/>
        <v>26055</v>
      </c>
      <c r="E54" s="145"/>
      <c r="F54" s="142">
        <f>SUM(G54:R54)</f>
        <v>2587.5</v>
      </c>
      <c r="G54" s="154"/>
      <c r="H54" s="154"/>
      <c r="I54" s="154"/>
      <c r="J54" s="154">
        <v>832.5</v>
      </c>
      <c r="K54" s="154">
        <v>1755</v>
      </c>
      <c r="L54" s="154"/>
      <c r="M54" s="154"/>
      <c r="N54" s="154"/>
      <c r="O54" s="154"/>
      <c r="P54" s="154"/>
      <c r="Q54" s="154"/>
      <c r="R54" s="155"/>
    </row>
    <row r="55" spans="1:18" ht="12.75" customHeight="1" x14ac:dyDescent="0.2">
      <c r="A55" s="112" t="s">
        <v>851</v>
      </c>
      <c r="B55" s="113" t="s">
        <v>852</v>
      </c>
      <c r="C55" s="169"/>
      <c r="D55" s="170">
        <f t="shared" si="2"/>
        <v>0</v>
      </c>
      <c r="E55" s="114"/>
      <c r="F55" s="129">
        <f t="shared" ref="F55:F100" si="4">SUM(G55:R55)</f>
        <v>0</v>
      </c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6"/>
      <c r="R55" s="155"/>
    </row>
    <row r="56" spans="1:18" ht="12.75" customHeight="1" x14ac:dyDescent="0.2">
      <c r="A56" s="112" t="s">
        <v>853</v>
      </c>
      <c r="B56" s="113" t="s">
        <v>854</v>
      </c>
      <c r="C56" s="169"/>
      <c r="D56" s="170">
        <f t="shared" si="2"/>
        <v>0</v>
      </c>
      <c r="E56" s="114"/>
      <c r="F56" s="129">
        <f t="shared" si="4"/>
        <v>0</v>
      </c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6"/>
      <c r="R56" s="155"/>
    </row>
    <row r="57" spans="1:18" ht="12.75" customHeight="1" x14ac:dyDescent="0.2">
      <c r="A57" s="112" t="s">
        <v>855</v>
      </c>
      <c r="B57" s="113" t="s">
        <v>856</v>
      </c>
      <c r="C57" s="169"/>
      <c r="D57" s="170">
        <f t="shared" si="2"/>
        <v>0</v>
      </c>
      <c r="E57" s="114"/>
      <c r="F57" s="129">
        <f t="shared" si="4"/>
        <v>0</v>
      </c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6"/>
      <c r="R57" s="155"/>
    </row>
    <row r="58" spans="1:18" ht="12.75" customHeight="1" x14ac:dyDescent="0.2">
      <c r="A58" s="112" t="s">
        <v>857</v>
      </c>
      <c r="B58" s="113" t="s">
        <v>858</v>
      </c>
      <c r="C58" s="169">
        <v>23104.23</v>
      </c>
      <c r="D58" s="170">
        <f t="shared" si="2"/>
        <v>23104.23</v>
      </c>
      <c r="E58" s="114"/>
      <c r="F58" s="129">
        <f t="shared" si="4"/>
        <v>0</v>
      </c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6"/>
      <c r="R58" s="155"/>
    </row>
    <row r="59" spans="1:18" ht="12.75" customHeight="1" x14ac:dyDescent="0.2">
      <c r="A59" s="112" t="s">
        <v>702</v>
      </c>
      <c r="B59" s="113" t="s">
        <v>968</v>
      </c>
      <c r="C59" s="169">
        <v>4717.6099999999997</v>
      </c>
      <c r="D59" s="170">
        <f t="shared" si="2"/>
        <v>4717.6099999999997</v>
      </c>
      <c r="E59" s="114"/>
      <c r="F59" s="129">
        <f t="shared" si="4"/>
        <v>0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6"/>
      <c r="R59" s="155"/>
    </row>
    <row r="60" spans="1:18" ht="12.75" customHeight="1" x14ac:dyDescent="0.2">
      <c r="A60" s="112" t="s">
        <v>859</v>
      </c>
      <c r="B60" s="113" t="s">
        <v>860</v>
      </c>
      <c r="C60" s="169">
        <v>1371.16</v>
      </c>
      <c r="D60" s="170">
        <f t="shared" si="2"/>
        <v>1372.3700000000001</v>
      </c>
      <c r="E60" s="145"/>
      <c r="F60" s="142">
        <f t="shared" si="4"/>
        <v>1.21</v>
      </c>
      <c r="G60" s="154"/>
      <c r="H60" s="154"/>
      <c r="I60" s="154"/>
      <c r="J60" s="154"/>
      <c r="K60" s="154">
        <v>1.21</v>
      </c>
      <c r="L60" s="154"/>
      <c r="M60" s="154"/>
      <c r="N60" s="154"/>
      <c r="O60" s="154"/>
      <c r="P60" s="154"/>
      <c r="Q60" s="156"/>
      <c r="R60" s="155"/>
    </row>
    <row r="61" spans="1:18" ht="12.75" customHeight="1" x14ac:dyDescent="0.2">
      <c r="A61" s="112" t="s">
        <v>861</v>
      </c>
      <c r="B61" s="113" t="s">
        <v>862</v>
      </c>
      <c r="C61" s="169">
        <v>7814.93</v>
      </c>
      <c r="D61" s="170">
        <f t="shared" si="2"/>
        <v>7814.93</v>
      </c>
      <c r="E61" s="114"/>
      <c r="F61" s="129">
        <f t="shared" si="4"/>
        <v>0</v>
      </c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6"/>
      <c r="R61" s="155"/>
    </row>
    <row r="62" spans="1:18" ht="12.75" customHeight="1" x14ac:dyDescent="0.2">
      <c r="A62" s="112" t="s">
        <v>863</v>
      </c>
      <c r="B62" s="113" t="s">
        <v>864</v>
      </c>
      <c r="C62" s="169"/>
      <c r="D62" s="170">
        <f t="shared" si="2"/>
        <v>0</v>
      </c>
      <c r="E62" s="114"/>
      <c r="F62" s="129">
        <f t="shared" si="4"/>
        <v>0</v>
      </c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6"/>
      <c r="R62" s="155"/>
    </row>
    <row r="63" spans="1:18" ht="12.75" customHeight="1" x14ac:dyDescent="0.2">
      <c r="A63" s="112" t="s">
        <v>865</v>
      </c>
      <c r="B63" s="113" t="s">
        <v>866</v>
      </c>
      <c r="C63" s="169"/>
      <c r="D63" s="170">
        <f t="shared" si="2"/>
        <v>0</v>
      </c>
      <c r="E63" s="114"/>
      <c r="F63" s="129">
        <f t="shared" si="4"/>
        <v>0</v>
      </c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6"/>
      <c r="R63" s="155"/>
    </row>
    <row r="64" spans="1:18" ht="12.75" customHeight="1" x14ac:dyDescent="0.2">
      <c r="A64" s="112" t="s">
        <v>867</v>
      </c>
      <c r="B64" s="113" t="s">
        <v>868</v>
      </c>
      <c r="C64" s="169"/>
      <c r="D64" s="170">
        <f t="shared" si="2"/>
        <v>0</v>
      </c>
      <c r="E64" s="114"/>
      <c r="F64" s="129">
        <f t="shared" si="4"/>
        <v>0</v>
      </c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6"/>
      <c r="R64" s="155"/>
    </row>
    <row r="65" spans="1:18" ht="12.75" customHeight="1" x14ac:dyDescent="0.2">
      <c r="A65" s="112" t="s">
        <v>869</v>
      </c>
      <c r="B65" s="113" t="s">
        <v>870</v>
      </c>
      <c r="C65" s="169">
        <v>2219.61</v>
      </c>
      <c r="D65" s="170">
        <f t="shared" ref="D65:D95" si="5">+C65+F65</f>
        <v>2219.61</v>
      </c>
      <c r="E65" s="114"/>
      <c r="F65" s="129">
        <f t="shared" si="4"/>
        <v>0</v>
      </c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6"/>
      <c r="R65" s="155"/>
    </row>
    <row r="66" spans="1:18" ht="12.75" customHeight="1" x14ac:dyDescent="0.2">
      <c r="A66" s="112" t="s">
        <v>871</v>
      </c>
      <c r="B66" s="113" t="s">
        <v>870</v>
      </c>
      <c r="C66" s="169"/>
      <c r="D66" s="170">
        <f t="shared" si="5"/>
        <v>0</v>
      </c>
      <c r="E66" s="114"/>
      <c r="F66" s="129">
        <f t="shared" si="4"/>
        <v>0</v>
      </c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6"/>
      <c r="R66" s="155"/>
    </row>
    <row r="67" spans="1:18" ht="12.75" customHeight="1" x14ac:dyDescent="0.2">
      <c r="A67" s="112" t="s">
        <v>872</v>
      </c>
      <c r="B67" s="113" t="s">
        <v>873</v>
      </c>
      <c r="C67" s="169"/>
      <c r="D67" s="170">
        <f t="shared" si="5"/>
        <v>0</v>
      </c>
      <c r="E67" s="114"/>
      <c r="F67" s="129">
        <f t="shared" si="4"/>
        <v>0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6"/>
      <c r="R67" s="155"/>
    </row>
    <row r="68" spans="1:18" ht="12.75" customHeight="1" x14ac:dyDescent="0.2">
      <c r="A68" s="112" t="s">
        <v>874</v>
      </c>
      <c r="B68" s="113" t="s">
        <v>875</v>
      </c>
      <c r="C68" s="169"/>
      <c r="D68" s="170">
        <f t="shared" si="5"/>
        <v>0</v>
      </c>
      <c r="E68" s="114"/>
      <c r="F68" s="129">
        <f t="shared" si="4"/>
        <v>0</v>
      </c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6"/>
      <c r="R68" s="155"/>
    </row>
    <row r="69" spans="1:18" ht="12.75" customHeight="1" x14ac:dyDescent="0.2">
      <c r="A69" s="112" t="s">
        <v>924</v>
      </c>
      <c r="B69" s="113" t="s">
        <v>925</v>
      </c>
      <c r="C69" s="169">
        <v>3382.91</v>
      </c>
      <c r="D69" s="170">
        <f t="shared" si="5"/>
        <v>3385.75</v>
      </c>
      <c r="E69" s="114"/>
      <c r="F69" s="129">
        <f t="shared" si="4"/>
        <v>2.84</v>
      </c>
      <c r="G69" s="154"/>
      <c r="H69" s="154"/>
      <c r="I69" s="154"/>
      <c r="J69" s="154">
        <v>2.84</v>
      </c>
      <c r="K69" s="154"/>
      <c r="L69" s="154"/>
      <c r="M69" s="154"/>
      <c r="N69" s="154"/>
      <c r="O69" s="154"/>
      <c r="P69" s="154"/>
      <c r="Q69" s="156"/>
      <c r="R69" s="155"/>
    </row>
    <row r="70" spans="1:18" ht="12.75" customHeight="1" x14ac:dyDescent="0.2">
      <c r="A70" s="112" t="s">
        <v>876</v>
      </c>
      <c r="B70" s="113" t="s">
        <v>877</v>
      </c>
      <c r="C70" s="169"/>
      <c r="D70" s="170">
        <f t="shared" si="5"/>
        <v>0</v>
      </c>
      <c r="E70" s="114"/>
      <c r="F70" s="129">
        <f t="shared" si="4"/>
        <v>0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6"/>
      <c r="R70" s="155"/>
    </row>
    <row r="71" spans="1:18" ht="12.75" customHeight="1" x14ac:dyDescent="0.2">
      <c r="A71" s="112" t="s">
        <v>878</v>
      </c>
      <c r="B71" s="113" t="s">
        <v>5</v>
      </c>
      <c r="C71" s="169">
        <v>7877.05</v>
      </c>
      <c r="D71" s="170">
        <f t="shared" si="5"/>
        <v>7881.16</v>
      </c>
      <c r="E71" s="114"/>
      <c r="F71" s="129">
        <f t="shared" si="4"/>
        <v>4.1100000000000003</v>
      </c>
      <c r="G71" s="154"/>
      <c r="H71" s="154"/>
      <c r="I71" s="154"/>
      <c r="J71" s="154">
        <v>4.1100000000000003</v>
      </c>
      <c r="K71" s="154"/>
      <c r="L71" s="154"/>
      <c r="M71" s="154"/>
      <c r="N71" s="154"/>
      <c r="O71" s="154"/>
      <c r="P71" s="154"/>
      <c r="Q71" s="156"/>
      <c r="R71" s="155"/>
    </row>
    <row r="72" spans="1:18" ht="12.75" customHeight="1" x14ac:dyDescent="0.2">
      <c r="A72" s="112" t="s">
        <v>879</v>
      </c>
      <c r="B72" s="113" t="s">
        <v>880</v>
      </c>
      <c r="C72" s="169"/>
      <c r="D72" s="170">
        <f t="shared" si="5"/>
        <v>0</v>
      </c>
      <c r="E72" s="114"/>
      <c r="F72" s="129">
        <f t="shared" si="4"/>
        <v>0</v>
      </c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6"/>
      <c r="R72" s="155"/>
    </row>
    <row r="73" spans="1:18" ht="12.75" customHeight="1" x14ac:dyDescent="0.2">
      <c r="A73" s="112" t="s">
        <v>961</v>
      </c>
      <c r="B73" s="113" t="s">
        <v>962</v>
      </c>
      <c r="C73" s="139"/>
      <c r="D73" s="144">
        <f t="shared" si="5"/>
        <v>0</v>
      </c>
      <c r="E73" s="114"/>
      <c r="F73" s="129">
        <f t="shared" si="4"/>
        <v>0</v>
      </c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6"/>
      <c r="R73" s="155"/>
    </row>
    <row r="74" spans="1:18" ht="12.75" customHeight="1" x14ac:dyDescent="0.2">
      <c r="A74" s="112" t="s">
        <v>972</v>
      </c>
      <c r="B74" s="113" t="s">
        <v>971</v>
      </c>
      <c r="C74" s="169">
        <v>24560</v>
      </c>
      <c r="D74" s="170">
        <f t="shared" si="5"/>
        <v>24560</v>
      </c>
      <c r="E74" s="114"/>
      <c r="F74" s="129">
        <f t="shared" si="4"/>
        <v>0</v>
      </c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6"/>
      <c r="R74" s="155"/>
    </row>
    <row r="75" spans="1:18" ht="12.75" customHeight="1" x14ac:dyDescent="0.2">
      <c r="A75" s="112" t="s">
        <v>881</v>
      </c>
      <c r="B75" s="113" t="s">
        <v>730</v>
      </c>
      <c r="C75" s="169">
        <v>3189.94</v>
      </c>
      <c r="D75" s="170">
        <f t="shared" si="5"/>
        <v>3232.71</v>
      </c>
      <c r="E75" s="145"/>
      <c r="F75" s="142">
        <f>SUM(G75:R75)</f>
        <v>42.77</v>
      </c>
      <c r="G75" s="154"/>
      <c r="H75" s="154"/>
      <c r="I75" s="154"/>
      <c r="J75" s="154"/>
      <c r="K75" s="154">
        <v>42.77</v>
      </c>
      <c r="L75" s="154"/>
      <c r="M75" s="154"/>
      <c r="N75" s="154"/>
      <c r="O75" s="154"/>
      <c r="P75" s="154"/>
      <c r="Q75" s="154"/>
      <c r="R75" s="155"/>
    </row>
    <row r="76" spans="1:18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5"/>
        <v>2360.16</v>
      </c>
      <c r="E76" s="145"/>
      <c r="F76" s="146">
        <f t="shared" si="4"/>
        <v>0</v>
      </c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6"/>
      <c r="R76" s="155"/>
    </row>
    <row r="77" spans="1:18" ht="12.75" customHeight="1" x14ac:dyDescent="0.2">
      <c r="A77" s="112" t="s">
        <v>914</v>
      </c>
      <c r="B77" s="113" t="s">
        <v>916</v>
      </c>
      <c r="C77" s="169"/>
      <c r="D77" s="170">
        <f t="shared" si="5"/>
        <v>0</v>
      </c>
      <c r="E77" s="114"/>
      <c r="F77" s="129">
        <f t="shared" si="4"/>
        <v>0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6"/>
      <c r="R77" s="155"/>
    </row>
    <row r="78" spans="1:18" ht="12.75" customHeight="1" x14ac:dyDescent="0.2">
      <c r="A78" s="112" t="s">
        <v>915</v>
      </c>
      <c r="B78" s="113" t="s">
        <v>917</v>
      </c>
      <c r="C78" s="169"/>
      <c r="D78" s="170">
        <f t="shared" si="5"/>
        <v>0</v>
      </c>
      <c r="E78" s="114"/>
      <c r="F78" s="129">
        <f t="shared" si="4"/>
        <v>0</v>
      </c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6"/>
      <c r="R78" s="155"/>
    </row>
    <row r="79" spans="1:18" ht="12.75" customHeight="1" x14ac:dyDescent="0.2">
      <c r="A79" s="112" t="s">
        <v>921</v>
      </c>
      <c r="B79" s="113" t="s">
        <v>922</v>
      </c>
      <c r="C79" s="169"/>
      <c r="D79" s="170">
        <f t="shared" si="5"/>
        <v>0</v>
      </c>
      <c r="E79" s="114"/>
      <c r="F79" s="129">
        <f t="shared" si="4"/>
        <v>0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6"/>
      <c r="R79" s="155"/>
    </row>
    <row r="80" spans="1:18" ht="12.75" customHeight="1" x14ac:dyDescent="0.2">
      <c r="A80" s="112" t="s">
        <v>700</v>
      </c>
      <c r="B80" s="113" t="s">
        <v>884</v>
      </c>
      <c r="C80" s="169">
        <v>459.81</v>
      </c>
      <c r="D80" s="170">
        <f t="shared" si="5"/>
        <v>459.81</v>
      </c>
      <c r="E80" s="114"/>
      <c r="F80" s="129">
        <f t="shared" si="4"/>
        <v>0</v>
      </c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6"/>
      <c r="R80" s="155"/>
    </row>
    <row r="81" spans="1:18" ht="12.75" customHeight="1" x14ac:dyDescent="0.2">
      <c r="A81" s="112" t="s">
        <v>601</v>
      </c>
      <c r="B81" s="113" t="s">
        <v>885</v>
      </c>
      <c r="C81" s="169"/>
      <c r="D81" s="170">
        <f t="shared" si="5"/>
        <v>0</v>
      </c>
      <c r="E81" s="114"/>
      <c r="F81" s="129">
        <f t="shared" si="4"/>
        <v>0</v>
      </c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6"/>
      <c r="R81" s="155"/>
    </row>
    <row r="82" spans="1:18" ht="12.75" customHeight="1" x14ac:dyDescent="0.2">
      <c r="A82" s="112" t="s">
        <v>886</v>
      </c>
      <c r="B82" s="113" t="s">
        <v>887</v>
      </c>
      <c r="C82" s="169">
        <v>18.91</v>
      </c>
      <c r="D82" s="170">
        <f t="shared" si="5"/>
        <v>18.91</v>
      </c>
      <c r="E82" s="114"/>
      <c r="F82" s="129">
        <f t="shared" si="4"/>
        <v>0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6"/>
      <c r="R82" s="155"/>
    </row>
    <row r="83" spans="1:18" ht="12.75" customHeight="1" x14ac:dyDescent="0.2">
      <c r="A83" s="112" t="s">
        <v>282</v>
      </c>
      <c r="B83" s="113" t="s">
        <v>888</v>
      </c>
      <c r="C83" s="169"/>
      <c r="D83" s="170">
        <f t="shared" si="5"/>
        <v>0</v>
      </c>
      <c r="E83" s="114"/>
      <c r="F83" s="129">
        <f t="shared" si="4"/>
        <v>0</v>
      </c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6"/>
      <c r="R83" s="155"/>
    </row>
    <row r="84" spans="1:18" ht="12.75" customHeight="1" x14ac:dyDescent="0.2">
      <c r="A84" s="112" t="s">
        <v>889</v>
      </c>
      <c r="B84" s="113" t="s">
        <v>890</v>
      </c>
      <c r="C84" s="169">
        <v>1265</v>
      </c>
      <c r="D84" s="170">
        <f t="shared" si="5"/>
        <v>1625</v>
      </c>
      <c r="E84" s="145"/>
      <c r="F84" s="142">
        <f t="shared" si="4"/>
        <v>360</v>
      </c>
      <c r="G84" s="154"/>
      <c r="H84" s="154"/>
      <c r="I84" s="154"/>
      <c r="J84" s="154"/>
      <c r="K84" s="154">
        <v>360</v>
      </c>
      <c r="L84" s="154"/>
      <c r="M84" s="154"/>
      <c r="N84" s="154"/>
      <c r="O84" s="154"/>
      <c r="P84" s="154"/>
      <c r="Q84" s="156"/>
      <c r="R84" s="155"/>
    </row>
    <row r="85" spans="1:18" ht="12.75" customHeight="1" x14ac:dyDescent="0.2">
      <c r="A85" s="108" t="s">
        <v>891</v>
      </c>
      <c r="B85" s="113" t="s">
        <v>892</v>
      </c>
      <c r="C85" s="169">
        <v>314.35000000000002</v>
      </c>
      <c r="D85" s="170">
        <f t="shared" si="5"/>
        <v>314.35000000000002</v>
      </c>
      <c r="E85" s="114"/>
      <c r="F85" s="129">
        <f t="shared" si="4"/>
        <v>0</v>
      </c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6"/>
      <c r="R85" s="155"/>
    </row>
    <row r="86" spans="1:18" ht="12.75" customHeight="1" x14ac:dyDescent="0.2">
      <c r="A86" s="112" t="s">
        <v>704</v>
      </c>
      <c r="B86" s="113" t="s">
        <v>893</v>
      </c>
      <c r="C86" s="169"/>
      <c r="D86" s="170">
        <f t="shared" si="5"/>
        <v>0</v>
      </c>
      <c r="E86" s="114"/>
      <c r="F86" s="129">
        <f t="shared" si="4"/>
        <v>0</v>
      </c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6"/>
      <c r="R86" s="155"/>
    </row>
    <row r="87" spans="1:18" ht="12.75" customHeight="1" x14ac:dyDescent="0.2">
      <c r="A87" s="112" t="s">
        <v>894</v>
      </c>
      <c r="B87" s="113" t="s">
        <v>3</v>
      </c>
      <c r="C87" s="169"/>
      <c r="D87" s="170">
        <f t="shared" si="5"/>
        <v>0</v>
      </c>
      <c r="E87" s="114"/>
      <c r="F87" s="129">
        <f t="shared" si="4"/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6"/>
      <c r="R87" s="155"/>
    </row>
    <row r="88" spans="1:18" ht="12.75" customHeight="1" x14ac:dyDescent="0.2">
      <c r="A88" s="112" t="s">
        <v>895</v>
      </c>
      <c r="B88" s="113" t="s">
        <v>896</v>
      </c>
      <c r="C88" s="169"/>
      <c r="D88" s="170">
        <f t="shared" si="5"/>
        <v>0</v>
      </c>
      <c r="E88" s="114"/>
      <c r="F88" s="129">
        <f t="shared" si="4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6"/>
      <c r="R88" s="155"/>
    </row>
    <row r="89" spans="1:18" ht="12.75" customHeight="1" x14ac:dyDescent="0.2">
      <c r="A89" s="112" t="s">
        <v>897</v>
      </c>
      <c r="B89" s="113" t="s">
        <v>92</v>
      </c>
      <c r="C89" s="169"/>
      <c r="D89" s="170">
        <f t="shared" si="5"/>
        <v>0</v>
      </c>
      <c r="E89" s="114"/>
      <c r="F89" s="129">
        <f t="shared" si="4"/>
        <v>0</v>
      </c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6"/>
      <c r="R89" s="155"/>
    </row>
    <row r="90" spans="1:18" ht="12.75" customHeight="1" x14ac:dyDescent="0.2">
      <c r="A90" s="112" t="s">
        <v>291</v>
      </c>
      <c r="B90" s="113" t="s">
        <v>14</v>
      </c>
      <c r="C90" s="169">
        <v>1526.1</v>
      </c>
      <c r="D90" s="170">
        <f t="shared" si="5"/>
        <v>1720.96</v>
      </c>
      <c r="E90" s="145"/>
      <c r="F90" s="142">
        <f t="shared" si="4"/>
        <v>194.86</v>
      </c>
      <c r="G90" s="154"/>
      <c r="H90" s="154"/>
      <c r="I90" s="154"/>
      <c r="J90" s="154">
        <v>194.86</v>
      </c>
      <c r="K90" s="154"/>
      <c r="L90" s="154"/>
      <c r="M90" s="154"/>
      <c r="N90" s="154"/>
      <c r="O90" s="154"/>
      <c r="P90" s="154"/>
      <c r="Q90" s="156"/>
      <c r="R90" s="155"/>
    </row>
    <row r="91" spans="1:18" ht="12.75" customHeight="1" x14ac:dyDescent="0.2">
      <c r="A91" s="112" t="s">
        <v>898</v>
      </c>
      <c r="B91" s="113" t="s">
        <v>969</v>
      </c>
      <c r="C91" s="169">
        <v>16424</v>
      </c>
      <c r="D91" s="170">
        <f t="shared" si="5"/>
        <v>16424</v>
      </c>
      <c r="E91" s="114"/>
      <c r="F91" s="129">
        <f t="shared" si="4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6"/>
      <c r="R91" s="155"/>
    </row>
    <row r="92" spans="1:18" ht="12.75" customHeight="1" x14ac:dyDescent="0.2">
      <c r="A92" s="112" t="s">
        <v>372</v>
      </c>
      <c r="B92" s="113" t="s">
        <v>164</v>
      </c>
      <c r="C92" s="169"/>
      <c r="D92" s="170">
        <f t="shared" si="5"/>
        <v>0</v>
      </c>
      <c r="E92" s="114"/>
      <c r="F92" s="129">
        <f t="shared" si="4"/>
        <v>0</v>
      </c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6"/>
      <c r="R92" s="155"/>
    </row>
    <row r="93" spans="1:18" ht="12.75" customHeight="1" x14ac:dyDescent="0.2">
      <c r="A93" s="112" t="s">
        <v>899</v>
      </c>
      <c r="B93" s="113" t="s">
        <v>15</v>
      </c>
      <c r="C93" s="169">
        <v>5054</v>
      </c>
      <c r="D93" s="170">
        <f t="shared" si="5"/>
        <v>5500.77</v>
      </c>
      <c r="E93" s="145"/>
      <c r="F93" s="142">
        <f t="shared" si="4"/>
        <v>446.77</v>
      </c>
      <c r="G93" s="154"/>
      <c r="H93" s="154"/>
      <c r="I93" s="154"/>
      <c r="J93" s="154">
        <v>146.77000000000001</v>
      </c>
      <c r="K93" s="154">
        <v>300</v>
      </c>
      <c r="L93" s="154"/>
      <c r="M93" s="154"/>
      <c r="N93" s="154"/>
      <c r="O93" s="154"/>
      <c r="P93" s="154"/>
      <c r="Q93" s="156"/>
      <c r="R93" s="155"/>
    </row>
    <row r="94" spans="1:18" ht="12.75" customHeight="1" x14ac:dyDescent="0.2">
      <c r="A94" s="112" t="s">
        <v>900</v>
      </c>
      <c r="B94" s="113" t="s">
        <v>982</v>
      </c>
      <c r="C94" s="169"/>
      <c r="D94" s="170">
        <f t="shared" si="5"/>
        <v>0</v>
      </c>
      <c r="E94" s="145"/>
      <c r="F94" s="142">
        <f t="shared" si="4"/>
        <v>0</v>
      </c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6"/>
      <c r="R94" s="155"/>
    </row>
    <row r="95" spans="1:18" ht="12.75" customHeight="1" x14ac:dyDescent="0.2">
      <c r="A95" s="115" t="s">
        <v>977</v>
      </c>
      <c r="B95" s="108" t="s">
        <v>989</v>
      </c>
      <c r="C95" s="169"/>
      <c r="D95" s="170">
        <f t="shared" si="5"/>
        <v>0</v>
      </c>
      <c r="E95" s="126"/>
      <c r="F95" s="129">
        <f t="shared" si="4"/>
        <v>0</v>
      </c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6"/>
      <c r="R95" s="155"/>
    </row>
    <row r="96" spans="1:18" ht="12.75" customHeight="1" x14ac:dyDescent="0.2">
      <c r="A96" s="115" t="s">
        <v>978</v>
      </c>
      <c r="B96" s="108" t="s">
        <v>990</v>
      </c>
      <c r="C96" s="169"/>
      <c r="D96" s="170">
        <f t="shared" ref="D96:D111" si="6">+C96+F96</f>
        <v>0</v>
      </c>
      <c r="E96" s="145"/>
      <c r="F96" s="142">
        <f t="shared" si="4"/>
        <v>0</v>
      </c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6"/>
      <c r="R96" s="155"/>
    </row>
    <row r="97" spans="1:18" ht="12.75" customHeight="1" x14ac:dyDescent="0.2">
      <c r="A97" s="115" t="s">
        <v>979</v>
      </c>
      <c r="B97" s="108" t="s">
        <v>991</v>
      </c>
      <c r="C97" s="169"/>
      <c r="D97" s="170">
        <f t="shared" si="6"/>
        <v>0</v>
      </c>
      <c r="E97" s="114"/>
      <c r="F97" s="129">
        <f t="shared" si="4"/>
        <v>0</v>
      </c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6"/>
      <c r="R97" s="155"/>
    </row>
    <row r="98" spans="1:18" ht="12.75" customHeight="1" x14ac:dyDescent="0.2">
      <c r="A98" s="115" t="s">
        <v>980</v>
      </c>
      <c r="B98" s="108" t="s">
        <v>992</v>
      </c>
      <c r="C98" s="169"/>
      <c r="D98" s="170">
        <f t="shared" si="6"/>
        <v>0</v>
      </c>
      <c r="E98" s="114"/>
      <c r="F98" s="129">
        <f t="shared" si="4"/>
        <v>0</v>
      </c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6"/>
      <c r="R98" s="155"/>
    </row>
    <row r="99" spans="1:18" ht="12.75" customHeight="1" x14ac:dyDescent="0.2">
      <c r="A99" s="115" t="s">
        <v>983</v>
      </c>
      <c r="B99" s="108" t="s">
        <v>993</v>
      </c>
      <c r="C99" s="169"/>
      <c r="D99" s="170">
        <f t="shared" si="6"/>
        <v>0</v>
      </c>
      <c r="E99" s="114"/>
      <c r="F99" s="129">
        <f t="shared" si="4"/>
        <v>0</v>
      </c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6"/>
      <c r="R99" s="155"/>
    </row>
    <row r="100" spans="1:18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6"/>
        <v>451.02</v>
      </c>
      <c r="E100" s="114"/>
      <c r="F100" s="129">
        <f t="shared" si="4"/>
        <v>0</v>
      </c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6"/>
      <c r="R100" s="155"/>
    </row>
    <row r="101" spans="1:18" ht="12.75" customHeight="1" x14ac:dyDescent="0.2">
      <c r="A101" s="115" t="s">
        <v>1017</v>
      </c>
      <c r="B101" s="108" t="s">
        <v>1018</v>
      </c>
      <c r="C101" s="169"/>
      <c r="D101" s="170">
        <f t="shared" si="6"/>
        <v>0</v>
      </c>
      <c r="E101" s="114"/>
      <c r="F101" s="129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6"/>
      <c r="R101" s="155"/>
    </row>
    <row r="102" spans="1:18" ht="12.75" customHeight="1" x14ac:dyDescent="0.2">
      <c r="A102" s="115" t="s">
        <v>1016</v>
      </c>
      <c r="B102" s="108" t="s">
        <v>1015</v>
      </c>
      <c r="C102" s="169"/>
      <c r="D102" s="170">
        <f t="shared" si="6"/>
        <v>0</v>
      </c>
      <c r="E102" s="114"/>
      <c r="F102" s="129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6"/>
      <c r="R102" s="155"/>
    </row>
    <row r="103" spans="1:18" ht="12.75" customHeight="1" x14ac:dyDescent="0.2">
      <c r="A103" s="112" t="s">
        <v>901</v>
      </c>
      <c r="B103" s="113" t="s">
        <v>902</v>
      </c>
      <c r="C103" s="169">
        <v>3389.04</v>
      </c>
      <c r="D103" s="170">
        <f t="shared" si="6"/>
        <v>3389.04</v>
      </c>
      <c r="E103" s="114"/>
      <c r="F103" s="129">
        <f t="shared" ref="F103:F108" si="7">SUM(G103:R103)</f>
        <v>0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6"/>
      <c r="R103" s="155"/>
    </row>
    <row r="104" spans="1:18" ht="12.75" customHeight="1" x14ac:dyDescent="0.2">
      <c r="A104" s="112" t="s">
        <v>903</v>
      </c>
      <c r="B104" s="113" t="s">
        <v>739</v>
      </c>
      <c r="C104" s="169">
        <v>6813.13</v>
      </c>
      <c r="D104" s="170">
        <f t="shared" si="6"/>
        <v>7228.63</v>
      </c>
      <c r="E104" s="145"/>
      <c r="F104" s="142">
        <f t="shared" si="7"/>
        <v>415.5</v>
      </c>
      <c r="G104" s="154"/>
      <c r="H104" s="154"/>
      <c r="I104" s="154"/>
      <c r="J104" s="154"/>
      <c r="K104" s="154">
        <v>415.5</v>
      </c>
      <c r="L104" s="154"/>
      <c r="M104" s="154"/>
      <c r="N104" s="154"/>
      <c r="O104" s="154"/>
      <c r="P104" s="154"/>
      <c r="Q104" s="156"/>
      <c r="R104" s="155"/>
    </row>
    <row r="105" spans="1:18" ht="12.75" customHeight="1" x14ac:dyDescent="0.2">
      <c r="A105" s="117" t="s">
        <v>918</v>
      </c>
      <c r="B105" s="118" t="s">
        <v>970</v>
      </c>
      <c r="C105" s="169"/>
      <c r="D105" s="170">
        <f t="shared" si="6"/>
        <v>0</v>
      </c>
      <c r="E105" s="119"/>
      <c r="F105" s="129">
        <f t="shared" si="7"/>
        <v>0</v>
      </c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6"/>
      <c r="R105" s="155"/>
    </row>
    <row r="106" spans="1:18" ht="12.75" customHeight="1" x14ac:dyDescent="0.2">
      <c r="A106" s="117" t="s">
        <v>904</v>
      </c>
      <c r="B106" s="118" t="s">
        <v>905</v>
      </c>
      <c r="C106" s="169">
        <v>16874.990000000002</v>
      </c>
      <c r="D106" s="170">
        <f t="shared" si="6"/>
        <v>16874.990000000002</v>
      </c>
      <c r="E106" s="114"/>
      <c r="F106" s="129">
        <f t="shared" si="7"/>
        <v>0</v>
      </c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6"/>
      <c r="R106" s="155"/>
    </row>
    <row r="107" spans="1:18" ht="12.75" customHeight="1" x14ac:dyDescent="0.2">
      <c r="A107" s="117" t="s">
        <v>906</v>
      </c>
      <c r="B107" s="118" t="s">
        <v>907</v>
      </c>
      <c r="C107" s="169">
        <v>31142.5</v>
      </c>
      <c r="D107" s="170">
        <f t="shared" si="6"/>
        <v>31142.5</v>
      </c>
      <c r="E107" s="114"/>
      <c r="F107" s="129">
        <f t="shared" si="7"/>
        <v>0</v>
      </c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6"/>
      <c r="R107" s="155"/>
    </row>
    <row r="108" spans="1:18" ht="12.75" customHeight="1" x14ac:dyDescent="0.2">
      <c r="A108" s="117" t="s">
        <v>908</v>
      </c>
      <c r="B108" s="118" t="s">
        <v>909</v>
      </c>
      <c r="C108" s="169">
        <v>2112.64</v>
      </c>
      <c r="D108" s="170">
        <f t="shared" si="6"/>
        <v>2166.4699999999998</v>
      </c>
      <c r="E108" s="145"/>
      <c r="F108" s="142">
        <f t="shared" si="7"/>
        <v>53.83</v>
      </c>
      <c r="G108" s="154"/>
      <c r="H108" s="154"/>
      <c r="I108" s="154"/>
      <c r="J108" s="154">
        <v>22.64</v>
      </c>
      <c r="K108" s="154">
        <v>31.19</v>
      </c>
      <c r="L108" s="154"/>
      <c r="M108" s="154"/>
      <c r="N108" s="154"/>
      <c r="O108" s="154"/>
      <c r="P108" s="154"/>
      <c r="Q108" s="156"/>
      <c r="R108" s="155"/>
    </row>
    <row r="109" spans="1:18" ht="12.75" customHeight="1" x14ac:dyDescent="0.2">
      <c r="A109" s="117" t="s">
        <v>910</v>
      </c>
      <c r="B109" s="118" t="s">
        <v>911</v>
      </c>
      <c r="C109" s="169">
        <v>155.91</v>
      </c>
      <c r="D109" s="170">
        <f t="shared" si="6"/>
        <v>155.91</v>
      </c>
      <c r="E109" s="145"/>
      <c r="F109" s="146">
        <f t="shared" ref="F109:F111" si="8">SUM(G109:R109)</f>
        <v>0</v>
      </c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6"/>
      <c r="R109" s="155"/>
    </row>
    <row r="110" spans="1:18" ht="12.75" customHeight="1" x14ac:dyDescent="0.2">
      <c r="A110" s="117" t="s">
        <v>912</v>
      </c>
      <c r="B110" s="118" t="s">
        <v>821</v>
      </c>
      <c r="C110" s="169">
        <v>31.24</v>
      </c>
      <c r="D110" s="170">
        <f t="shared" si="6"/>
        <v>31.24</v>
      </c>
      <c r="E110" s="119"/>
      <c r="F110" s="129">
        <f t="shared" si="8"/>
        <v>0</v>
      </c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6"/>
      <c r="R110" s="155"/>
    </row>
    <row r="111" spans="1:18" ht="12.75" customHeight="1" thickBot="1" x14ac:dyDescent="0.25">
      <c r="A111" s="120" t="s">
        <v>919</v>
      </c>
      <c r="B111" s="121" t="s">
        <v>920</v>
      </c>
      <c r="C111" s="171"/>
      <c r="D111" s="172">
        <f t="shared" si="6"/>
        <v>0</v>
      </c>
      <c r="E111" s="122"/>
      <c r="F111" s="130">
        <f t="shared" si="8"/>
        <v>0</v>
      </c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8"/>
      <c r="R111" s="159"/>
    </row>
    <row r="112" spans="1:18" ht="11.1" customHeight="1" x14ac:dyDescent="0.2">
      <c r="C112" s="140"/>
      <c r="D112" s="140"/>
      <c r="E112" s="126"/>
      <c r="F112" s="127"/>
      <c r="G112" s="162"/>
      <c r="N112" s="141"/>
      <c r="O112" s="141"/>
    </row>
    <row r="113" spans="3:18" ht="11.1" customHeight="1" x14ac:dyDescent="0.2">
      <c r="C113" s="140"/>
      <c r="D113" s="140">
        <f>SUM(D32:D111)</f>
        <v>-59250.510000000031</v>
      </c>
      <c r="E113" s="126"/>
      <c r="F113" s="128"/>
      <c r="G113" s="163">
        <f>SUM(G4:G111)</f>
        <v>47446.679999999928</v>
      </c>
      <c r="H113" s="141">
        <f>SUM(H4:H111)</f>
        <v>0</v>
      </c>
      <c r="I113" s="141">
        <f t="shared" ref="I113:R113" si="9">SUM(I4:I111)</f>
        <v>0</v>
      </c>
      <c r="J113" s="141">
        <f t="shared" si="9"/>
        <v>0</v>
      </c>
      <c r="K113" s="141">
        <f t="shared" si="9"/>
        <v>-5.3290705182007514E-14</v>
      </c>
      <c r="L113" s="141">
        <f t="shared" si="9"/>
        <v>0</v>
      </c>
      <c r="M113" s="141">
        <f t="shared" si="9"/>
        <v>0</v>
      </c>
      <c r="N113" s="141">
        <f t="shared" si="9"/>
        <v>0</v>
      </c>
      <c r="O113" s="141">
        <f t="shared" si="9"/>
        <v>0</v>
      </c>
      <c r="P113" s="141">
        <f t="shared" si="9"/>
        <v>0</v>
      </c>
      <c r="Q113" s="141">
        <f t="shared" si="9"/>
        <v>0</v>
      </c>
      <c r="R113" s="141">
        <f t="shared" si="9"/>
        <v>0</v>
      </c>
    </row>
    <row r="114" spans="3:18" ht="11.1" customHeight="1" x14ac:dyDescent="0.2">
      <c r="C114" s="140"/>
      <c r="D114" s="140"/>
      <c r="E114" s="126"/>
      <c r="F114" s="128"/>
      <c r="G114" s="163"/>
      <c r="N114" s="141"/>
      <c r="O114" s="141"/>
    </row>
    <row r="115" spans="3:18" ht="11.1" customHeight="1" x14ac:dyDescent="0.2">
      <c r="C115" s="140"/>
      <c r="D115" s="140">
        <f>ROUND(SUM(D4:D111),2)</f>
        <v>0</v>
      </c>
      <c r="E115" s="126"/>
      <c r="F115" s="128"/>
      <c r="G115" s="163"/>
      <c r="N115" s="141"/>
      <c r="O115" s="141"/>
    </row>
    <row r="116" spans="3:18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May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May'!Print_Area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2017-05-16T11:05:16Z</cp:lastPrinted>
  <dcterms:created xsi:type="dcterms:W3CDTF">2009-02-26T10:12:44Z</dcterms:created>
  <dcterms:modified xsi:type="dcterms:W3CDTF">2017-06-27T11:42:48Z</dcterms:modified>
</cp:coreProperties>
</file>