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164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" sheetId="13" r:id="rId8"/>
  </sheets>
  <externalReferences>
    <externalReference r:id="rId9"/>
  </externalReference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>'Man Accs '!#REF!</definedName>
    <definedName name="_xlnm.Print_Area" localSheetId="6">'Balance Sheet'!$A$1:$I$40</definedName>
    <definedName name="_xlnm.Print_Area" localSheetId="0">'Man Accs '!$B$1:$I$82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7">TB!$A$1:$R$117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O19" i="10" l="1"/>
  <c r="M23" i="10" l="1"/>
  <c r="M79" i="10" l="1"/>
  <c r="M60" i="10"/>
  <c r="M56" i="10"/>
  <c r="M42" i="10"/>
  <c r="M38" i="10"/>
  <c r="M34" i="10"/>
  <c r="M8" i="10"/>
  <c r="M25" i="10" s="1"/>
  <c r="M80" i="10" l="1"/>
  <c r="M43" i="10"/>
  <c r="D83" i="13"/>
  <c r="M82" i="10" l="1"/>
  <c r="M24" i="13"/>
  <c r="K59" i="10" l="1"/>
  <c r="K55" i="10"/>
  <c r="K37" i="10"/>
  <c r="K31" i="10"/>
  <c r="K32" i="10"/>
  <c r="K29" i="10"/>
  <c r="R23" i="10" l="1"/>
  <c r="K60" i="10" l="1"/>
  <c r="K38" i="10"/>
  <c r="F75" i="10"/>
  <c r="C75" i="10"/>
  <c r="C55" i="10"/>
  <c r="F55" i="10"/>
  <c r="J55" i="10" l="1"/>
  <c r="L55" i="10" s="1"/>
  <c r="N55" i="10"/>
  <c r="O55" i="10" s="1"/>
  <c r="J75" i="10"/>
  <c r="N75" i="10"/>
  <c r="O75" i="10" s="1"/>
  <c r="D75" i="10"/>
  <c r="AE59" i="10"/>
  <c r="L59" i="10" s="1"/>
  <c r="L60" i="10" s="1"/>
  <c r="R60" i="10" l="1"/>
  <c r="R56" i="10"/>
  <c r="R79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D102" i="13"/>
  <c r="D103" i="13"/>
  <c r="D53" i="13"/>
  <c r="D11" i="13"/>
  <c r="R80" i="10" l="1"/>
  <c r="AB41" i="10" l="1"/>
  <c r="Y41" i="10"/>
  <c r="Y42" i="10" l="1"/>
  <c r="U42" i="10"/>
  <c r="G42" i="10"/>
  <c r="G38" i="10"/>
  <c r="G8" i="10"/>
  <c r="G34" i="10"/>
  <c r="G43" i="10" l="1"/>
  <c r="G75" i="10" l="1"/>
  <c r="S42" i="10"/>
  <c r="T42" i="10"/>
  <c r="W42" i="10"/>
  <c r="Z42" i="10"/>
  <c r="AB42" i="10"/>
  <c r="AC42" i="10"/>
  <c r="R42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R38" i="10"/>
  <c r="R8" i="10"/>
  <c r="R25" i="10" s="1"/>
  <c r="U30" i="10"/>
  <c r="V30" i="10"/>
  <c r="W30" i="10"/>
  <c r="X30" i="10"/>
  <c r="Y30" i="10"/>
  <c r="Z30" i="10"/>
  <c r="AA30" i="10"/>
  <c r="AB30" i="10"/>
  <c r="AC30" i="10"/>
  <c r="AD30" i="10"/>
  <c r="T30" i="10"/>
  <c r="AF35" i="10"/>
  <c r="AF6" i="10"/>
  <c r="AF36" i="10"/>
  <c r="AF39" i="10"/>
  <c r="AF40" i="10"/>
  <c r="R34" i="10"/>
  <c r="K30" i="10" l="1"/>
  <c r="R43" i="10"/>
  <c r="G22" i="10"/>
  <c r="G23" i="10" s="1"/>
  <c r="U22" i="10"/>
  <c r="V22" i="10"/>
  <c r="W22" i="10"/>
  <c r="X22" i="10"/>
  <c r="Y22" i="10"/>
  <c r="Z22" i="10"/>
  <c r="AA22" i="10"/>
  <c r="AB22" i="10"/>
  <c r="AC22" i="10"/>
  <c r="AD22" i="10"/>
  <c r="V21" i="10"/>
  <c r="W21" i="10"/>
  <c r="X21" i="10"/>
  <c r="Y21" i="10"/>
  <c r="Z21" i="10"/>
  <c r="AA21" i="10"/>
  <c r="AB21" i="10"/>
  <c r="AC21" i="10"/>
  <c r="AD21" i="10"/>
  <c r="T22" i="10"/>
  <c r="S22" i="10"/>
  <c r="G55" i="10"/>
  <c r="AE55" i="10"/>
  <c r="AF55" i="10" s="1"/>
  <c r="K21" i="10" l="1"/>
  <c r="R82" i="10"/>
  <c r="C22" i="10"/>
  <c r="N22" i="10" s="1"/>
  <c r="O22" i="10" s="1"/>
  <c r="K22" i="10"/>
  <c r="AE22" i="10"/>
  <c r="AF22" i="10" s="1"/>
  <c r="F22" i="10"/>
  <c r="D22" i="10" s="1"/>
  <c r="D55" i="10"/>
  <c r="J22" i="10" l="1"/>
  <c r="L22" i="10" s="1"/>
  <c r="E43" i="10"/>
  <c r="F40" i="3" l="1"/>
  <c r="F38" i="3"/>
  <c r="E24" i="3"/>
  <c r="E21" i="3"/>
  <c r="E15" i="3"/>
  <c r="G80" i="10"/>
  <c r="G82" i="10" l="1"/>
  <c r="E25" i="3"/>
  <c r="F28" i="3" s="1"/>
  <c r="F30" i="3" s="1"/>
  <c r="F38" i="13" l="1"/>
  <c r="F14" i="13" l="1"/>
  <c r="D14" i="13" s="1"/>
  <c r="F13" i="13"/>
  <c r="C3" i="13" l="1"/>
  <c r="G26" i="13" s="1"/>
  <c r="B2" i="3" l="1"/>
  <c r="C29" i="10" l="1"/>
  <c r="J29" i="10" l="1"/>
  <c r="L29" i="10" s="1"/>
  <c r="N29" i="10"/>
  <c r="O29" i="10" s="1"/>
  <c r="G114" i="13"/>
  <c r="H114" i="13"/>
  <c r="F37" i="10" l="1"/>
  <c r="F38" i="10" s="1"/>
  <c r="F29" i="10"/>
  <c r="AE37" i="10"/>
  <c r="AE38" i="10" l="1"/>
  <c r="AF38" i="10" s="1"/>
  <c r="AF37" i="10"/>
  <c r="D29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F59" i="10"/>
  <c r="F60" i="10" s="1"/>
  <c r="AD7" i="10"/>
  <c r="AD8" i="10" s="1"/>
  <c r="AC7" i="10"/>
  <c r="AC8" i="10" s="1"/>
  <c r="AB7" i="10"/>
  <c r="AB8" i="10" s="1"/>
  <c r="AA7" i="10"/>
  <c r="AA8" i="10" s="1"/>
  <c r="Z7" i="10"/>
  <c r="Y7" i="10"/>
  <c r="X7" i="10"/>
  <c r="X8" i="10" s="1"/>
  <c r="W7" i="10"/>
  <c r="W8" i="10" s="1"/>
  <c r="V7" i="10"/>
  <c r="V8" i="10" s="1"/>
  <c r="U7" i="10"/>
  <c r="U8" i="10" s="1"/>
  <c r="T7" i="10"/>
  <c r="T8" i="10" s="1"/>
  <c r="S7" i="10"/>
  <c r="K78" i="10" l="1"/>
  <c r="Z8" i="10"/>
  <c r="K7" i="10"/>
  <c r="Y8" i="10"/>
  <c r="K8" i="10"/>
  <c r="S8" i="10"/>
  <c r="E29" i="10"/>
  <c r="F7" i="10"/>
  <c r="F8" i="10" s="1"/>
  <c r="F30" i="10"/>
  <c r="AE78" i="10"/>
  <c r="AF78" i="10" s="1"/>
  <c r="F78" i="10"/>
  <c r="R114" i="13"/>
  <c r="Q114" i="13"/>
  <c r="P114" i="13"/>
  <c r="O114" i="13"/>
  <c r="N114" i="13"/>
  <c r="M114" i="13"/>
  <c r="L114" i="13"/>
  <c r="K114" i="13"/>
  <c r="J114" i="13"/>
  <c r="I114" i="13"/>
  <c r="B24" i="3" l="1"/>
  <c r="D22" i="13"/>
  <c r="I80" i="10" l="1"/>
  <c r="I43" i="10"/>
  <c r="I82" i="10" l="1"/>
  <c r="F52" i="13"/>
  <c r="F51" i="13"/>
  <c r="F50" i="13"/>
  <c r="F24" i="13" l="1"/>
  <c r="F96" i="13" l="1"/>
  <c r="F97" i="13"/>
  <c r="F98" i="13"/>
  <c r="F99" i="13"/>
  <c r="F100" i="13"/>
  <c r="F101" i="13"/>
  <c r="D50" i="13" l="1"/>
  <c r="D51" i="13"/>
  <c r="D52" i="13"/>
  <c r="D96" i="13"/>
  <c r="D97" i="13"/>
  <c r="D98" i="13"/>
  <c r="D99" i="13"/>
  <c r="D100" i="13"/>
  <c r="D101" i="13"/>
  <c r="C37" i="10" l="1"/>
  <c r="N37" i="10" s="1"/>
  <c r="F26" i="13"/>
  <c r="F5" i="13"/>
  <c r="F6" i="13"/>
  <c r="F7" i="13"/>
  <c r="F8" i="13"/>
  <c r="D8" i="13" s="1"/>
  <c r="F9" i="13"/>
  <c r="F10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N38" i="10" l="1"/>
  <c r="O37" i="10"/>
  <c r="O38" i="10" s="1"/>
  <c r="C38" i="10"/>
  <c r="D38" i="10" s="1"/>
  <c r="J37" i="10"/>
  <c r="D37" i="10"/>
  <c r="H37" i="10"/>
  <c r="D26" i="13"/>
  <c r="F46" i="13"/>
  <c r="D46" i="13" s="1"/>
  <c r="F47" i="13"/>
  <c r="D47" i="13" s="1"/>
  <c r="F48" i="13"/>
  <c r="D48" i="13" s="1"/>
  <c r="F49" i="13"/>
  <c r="D49" i="13" s="1"/>
  <c r="F54" i="13"/>
  <c r="D54" i="13" s="1"/>
  <c r="C48" i="10" s="1"/>
  <c r="N48" i="10" s="1"/>
  <c r="O48" i="10" s="1"/>
  <c r="F55" i="13"/>
  <c r="D55" i="13" s="1"/>
  <c r="F56" i="13"/>
  <c r="D56" i="13" s="1"/>
  <c r="F57" i="13"/>
  <c r="D57" i="13" s="1"/>
  <c r="F58" i="13"/>
  <c r="D58" i="13" s="1"/>
  <c r="F59" i="13"/>
  <c r="D59" i="13" s="1"/>
  <c r="C49" i="10" s="1"/>
  <c r="F60" i="13"/>
  <c r="D60" i="13" s="1"/>
  <c r="C50" i="10" s="1"/>
  <c r="F61" i="13"/>
  <c r="D61" i="13" s="1"/>
  <c r="C53" i="10" s="1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D74" i="13" s="1"/>
  <c r="C16" i="10" s="1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4" i="13"/>
  <c r="D84" i="13" s="1"/>
  <c r="F85" i="13"/>
  <c r="D85" i="13" s="1"/>
  <c r="F86" i="13"/>
  <c r="D86" i="13" s="1"/>
  <c r="F87" i="13"/>
  <c r="D87" i="13" s="1"/>
  <c r="C54" i="10" s="1"/>
  <c r="F88" i="13"/>
  <c r="D88" i="13" s="1"/>
  <c r="F89" i="13"/>
  <c r="D89" i="13" s="1"/>
  <c r="F90" i="13"/>
  <c r="D90" i="13" s="1"/>
  <c r="F91" i="13"/>
  <c r="D91" i="13" s="1"/>
  <c r="F92" i="13"/>
  <c r="D92" i="13" s="1"/>
  <c r="C72" i="10" s="1"/>
  <c r="F93" i="13"/>
  <c r="D93" i="13" s="1"/>
  <c r="F94" i="13"/>
  <c r="D94" i="13" s="1"/>
  <c r="F95" i="13"/>
  <c r="D95" i="13" s="1"/>
  <c r="F104" i="13"/>
  <c r="D104" i="13" s="1"/>
  <c r="C59" i="10" s="1"/>
  <c r="F105" i="13"/>
  <c r="D105" i="13" s="1"/>
  <c r="C21" i="10" s="1"/>
  <c r="F106" i="13"/>
  <c r="D106" i="13" s="1"/>
  <c r="F107" i="13"/>
  <c r="D107" i="13" s="1"/>
  <c r="F108" i="13"/>
  <c r="D108" i="13" s="1"/>
  <c r="C19" i="10" s="1"/>
  <c r="F109" i="13"/>
  <c r="D109" i="13" s="1"/>
  <c r="C20" i="10" s="1"/>
  <c r="F110" i="13"/>
  <c r="D110" i="13" s="1"/>
  <c r="C78" i="10" s="1"/>
  <c r="F111" i="13"/>
  <c r="D111" i="13" s="1"/>
  <c r="F112" i="13"/>
  <c r="D112" i="13" s="1"/>
  <c r="J21" i="10" l="1"/>
  <c r="L21" i="10" s="1"/>
  <c r="N21" i="10"/>
  <c r="O21" i="10" s="1"/>
  <c r="J54" i="10"/>
  <c r="N54" i="10"/>
  <c r="O54" i="10" s="1"/>
  <c r="J16" i="10"/>
  <c r="N16" i="10"/>
  <c r="O16" i="10" s="1"/>
  <c r="J50" i="10"/>
  <c r="N50" i="10"/>
  <c r="O50" i="10" s="1"/>
  <c r="J20" i="10"/>
  <c r="N20" i="10"/>
  <c r="O20" i="10" s="1"/>
  <c r="J78" i="10"/>
  <c r="L78" i="10" s="1"/>
  <c r="N78" i="10"/>
  <c r="O78" i="10" s="1"/>
  <c r="J19" i="10"/>
  <c r="N19" i="10"/>
  <c r="J59" i="10"/>
  <c r="N59" i="10"/>
  <c r="J72" i="10"/>
  <c r="N72" i="10"/>
  <c r="O72" i="10" s="1"/>
  <c r="J53" i="10"/>
  <c r="N53" i="10"/>
  <c r="O53" i="10" s="1"/>
  <c r="J49" i="10"/>
  <c r="N49" i="10"/>
  <c r="J48" i="10"/>
  <c r="L37" i="10"/>
  <c r="L38" i="10" s="1"/>
  <c r="J38" i="10"/>
  <c r="C60" i="10"/>
  <c r="D60" i="10" s="1"/>
  <c r="J60" i="10"/>
  <c r="C56" i="10"/>
  <c r="C12" i="10"/>
  <c r="E37" i="10"/>
  <c r="C66" i="10"/>
  <c r="C69" i="10"/>
  <c r="C65" i="10"/>
  <c r="C64" i="10"/>
  <c r="C15" i="10"/>
  <c r="AE60" i="10"/>
  <c r="F34" i="13"/>
  <c r="D34" i="13" s="1"/>
  <c r="F35" i="13"/>
  <c r="D35" i="13" s="1"/>
  <c r="C32" i="10" s="1"/>
  <c r="F36" i="13"/>
  <c r="D36" i="13" s="1"/>
  <c r="F37" i="13"/>
  <c r="D37" i="13" s="1"/>
  <c r="D38" i="13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33" i="13" s="1"/>
  <c r="C31" i="10" s="1"/>
  <c r="D29" i="13"/>
  <c r="D28" i="13"/>
  <c r="D27" i="13"/>
  <c r="D25" i="13"/>
  <c r="B11" i="3" s="1"/>
  <c r="D24" i="13"/>
  <c r="B22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N60" i="10" l="1"/>
  <c r="O60" i="10" s="1"/>
  <c r="O59" i="10"/>
  <c r="N56" i="10"/>
  <c r="O56" i="10" s="1"/>
  <c r="O49" i="10"/>
  <c r="J15" i="10"/>
  <c r="N15" i="10"/>
  <c r="O15" i="10" s="1"/>
  <c r="J65" i="10"/>
  <c r="N65" i="10"/>
  <c r="O65" i="10" s="1"/>
  <c r="J66" i="10"/>
  <c r="N66" i="10"/>
  <c r="O66" i="10" s="1"/>
  <c r="J12" i="10"/>
  <c r="N12" i="10"/>
  <c r="J31" i="10"/>
  <c r="L31" i="10" s="1"/>
  <c r="N31" i="10"/>
  <c r="O31" i="10" s="1"/>
  <c r="J32" i="10"/>
  <c r="L32" i="10" s="1"/>
  <c r="N32" i="10"/>
  <c r="O32" i="10" s="1"/>
  <c r="J64" i="10"/>
  <c r="N64" i="10"/>
  <c r="O64" i="10" s="1"/>
  <c r="J69" i="10"/>
  <c r="N69" i="10"/>
  <c r="O69" i="10" s="1"/>
  <c r="J56" i="10"/>
  <c r="J23" i="10"/>
  <c r="C30" i="10"/>
  <c r="J79" i="10"/>
  <c r="C79" i="10"/>
  <c r="C80" i="10" s="1"/>
  <c r="C23" i="10"/>
  <c r="B14" i="3"/>
  <c r="D114" i="13"/>
  <c r="C40" i="3"/>
  <c r="C7" i="10"/>
  <c r="N7" i="10" s="1"/>
  <c r="N8" i="10" s="1"/>
  <c r="C33" i="10"/>
  <c r="N33" i="10" s="1"/>
  <c r="O33" i="10" s="1"/>
  <c r="C41" i="10"/>
  <c r="N41" i="10" s="1"/>
  <c r="H50" i="10"/>
  <c r="H29" i="10"/>
  <c r="H65" i="10"/>
  <c r="H31" i="10"/>
  <c r="H66" i="10"/>
  <c r="C34" i="3"/>
  <c r="C35" i="3"/>
  <c r="O7" i="10" l="1"/>
  <c r="O8" i="10" s="1"/>
  <c r="N42" i="10"/>
  <c r="O42" i="10" s="1"/>
  <c r="O41" i="10"/>
  <c r="N23" i="10"/>
  <c r="O23" i="10" s="1"/>
  <c r="O12" i="10"/>
  <c r="J30" i="10"/>
  <c r="L30" i="10" s="1"/>
  <c r="N30" i="10"/>
  <c r="N79" i="10"/>
  <c r="J80" i="10"/>
  <c r="J7" i="10"/>
  <c r="J8" i="10" s="1"/>
  <c r="J25" i="10" s="1"/>
  <c r="D7" i="10"/>
  <c r="E7" i="10" s="1"/>
  <c r="C8" i="10"/>
  <c r="C25" i="10" s="1"/>
  <c r="C34" i="10"/>
  <c r="J33" i="10"/>
  <c r="C42" i="10"/>
  <c r="J41" i="10"/>
  <c r="D8" i="10"/>
  <c r="C85" i="10"/>
  <c r="C36" i="3"/>
  <c r="D30" i="10"/>
  <c r="H33" i="10"/>
  <c r="N25" i="10" l="1"/>
  <c r="N34" i="10"/>
  <c r="O30" i="10"/>
  <c r="N80" i="10"/>
  <c r="O80" i="10" s="1"/>
  <c r="O79" i="10"/>
  <c r="O25" i="10"/>
  <c r="L7" i="10"/>
  <c r="L8" i="10" s="1"/>
  <c r="J34" i="10"/>
  <c r="C43" i="10"/>
  <c r="C82" i="10" s="1"/>
  <c r="C84" i="10" s="1"/>
  <c r="J42" i="10"/>
  <c r="E30" i="10"/>
  <c r="N43" i="10" l="1"/>
  <c r="O34" i="10"/>
  <c r="J43" i="10"/>
  <c r="J82" i="10" s="1"/>
  <c r="C86" i="10"/>
  <c r="H48" i="10"/>
  <c r="O43" i="10" l="1"/>
  <c r="N82" i="10"/>
  <c r="O82" i="10" s="1"/>
  <c r="B12" i="3"/>
  <c r="B15" i="3" s="1"/>
  <c r="V41" i="10" l="1"/>
  <c r="V42" i="10" s="1"/>
  <c r="X42" i="10"/>
  <c r="AA42" i="10"/>
  <c r="AD41" i="10"/>
  <c r="K41" i="10" s="1"/>
  <c r="L41" i="10" s="1"/>
  <c r="L42" i="10" s="1"/>
  <c r="AD69" i="10"/>
  <c r="AC69" i="10"/>
  <c r="AB69" i="10"/>
  <c r="AA69" i="10"/>
  <c r="Z69" i="10"/>
  <c r="K69" i="10" s="1"/>
  <c r="L69" i="10" s="1"/>
  <c r="Y69" i="10"/>
  <c r="X69" i="10"/>
  <c r="W69" i="10"/>
  <c r="V69" i="10"/>
  <c r="U69" i="10"/>
  <c r="T69" i="10"/>
  <c r="S69" i="10"/>
  <c r="AD65" i="10"/>
  <c r="AC65" i="10"/>
  <c r="AB65" i="10"/>
  <c r="AA65" i="10"/>
  <c r="Z65" i="10"/>
  <c r="K65" i="10" s="1"/>
  <c r="L65" i="10" s="1"/>
  <c r="Y65" i="10"/>
  <c r="X65" i="10"/>
  <c r="W65" i="10"/>
  <c r="V65" i="10"/>
  <c r="U65" i="10"/>
  <c r="T65" i="10"/>
  <c r="S65" i="10"/>
  <c r="AD66" i="10"/>
  <c r="AC66" i="10"/>
  <c r="AB66" i="10"/>
  <c r="AA66" i="10"/>
  <c r="Z66" i="10"/>
  <c r="K66" i="10" s="1"/>
  <c r="L66" i="10" s="1"/>
  <c r="Y66" i="10"/>
  <c r="X66" i="10"/>
  <c r="W66" i="10"/>
  <c r="V66" i="10"/>
  <c r="U66" i="10"/>
  <c r="T66" i="10"/>
  <c r="S66" i="10"/>
  <c r="AD72" i="10"/>
  <c r="AC72" i="10"/>
  <c r="AB72" i="10"/>
  <c r="AA72" i="10"/>
  <c r="Z72" i="10"/>
  <c r="K72" i="10" s="1"/>
  <c r="L72" i="10" s="1"/>
  <c r="Y72" i="10"/>
  <c r="X72" i="10"/>
  <c r="W72" i="10"/>
  <c r="V72" i="10"/>
  <c r="U72" i="10"/>
  <c r="T72" i="10"/>
  <c r="S72" i="10"/>
  <c r="AD75" i="10"/>
  <c r="AC75" i="10"/>
  <c r="AB75" i="10"/>
  <c r="AA75" i="10"/>
  <c r="Z75" i="10"/>
  <c r="K75" i="10" s="1"/>
  <c r="L75" i="10" s="1"/>
  <c r="Y75" i="10"/>
  <c r="X75" i="10"/>
  <c r="W75" i="10"/>
  <c r="V75" i="10"/>
  <c r="U75" i="10"/>
  <c r="T75" i="10"/>
  <c r="S75" i="10"/>
  <c r="AD16" i="10"/>
  <c r="AC16" i="10"/>
  <c r="AB16" i="10"/>
  <c r="AA16" i="10"/>
  <c r="Z16" i="10"/>
  <c r="K16" i="10" s="1"/>
  <c r="L16" i="10" s="1"/>
  <c r="Y16" i="10"/>
  <c r="X16" i="10"/>
  <c r="W16" i="10"/>
  <c r="V16" i="10"/>
  <c r="U16" i="10"/>
  <c r="T16" i="10"/>
  <c r="S16" i="10"/>
  <c r="AD54" i="10"/>
  <c r="AC54" i="10"/>
  <c r="AB54" i="10"/>
  <c r="AA54" i="10"/>
  <c r="Z54" i="10"/>
  <c r="K54" i="10" s="1"/>
  <c r="L54" i="10" s="1"/>
  <c r="Y54" i="10"/>
  <c r="X54" i="10"/>
  <c r="W54" i="10"/>
  <c r="V54" i="10"/>
  <c r="U54" i="10"/>
  <c r="T54" i="10"/>
  <c r="S54" i="10"/>
  <c r="U21" i="10"/>
  <c r="T21" i="10"/>
  <c r="S21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AD33" i="10"/>
  <c r="AD34" i="10" s="1"/>
  <c r="AC33" i="10"/>
  <c r="AC34" i="10" s="1"/>
  <c r="AC43" i="10" s="1"/>
  <c r="AB33" i="10"/>
  <c r="AB34" i="10" s="1"/>
  <c r="AB43" i="10" s="1"/>
  <c r="AA33" i="10"/>
  <c r="AA34" i="10" s="1"/>
  <c r="AA43" i="10" s="1"/>
  <c r="Z33" i="10"/>
  <c r="Y33" i="10"/>
  <c r="X33" i="10"/>
  <c r="X34" i="10" s="1"/>
  <c r="X43" i="10" s="1"/>
  <c r="W33" i="10"/>
  <c r="W34" i="10" s="1"/>
  <c r="W43" i="10" s="1"/>
  <c r="V33" i="10"/>
  <c r="V34" i="10" s="1"/>
  <c r="V43" i="10" s="1"/>
  <c r="U33" i="10"/>
  <c r="U34" i="10" s="1"/>
  <c r="U43" i="10" s="1"/>
  <c r="T33" i="10"/>
  <c r="T34" i="10" s="1"/>
  <c r="T43" i="10" s="1"/>
  <c r="S33" i="10"/>
  <c r="Z34" i="10" l="1"/>
  <c r="Z43" i="10" s="1"/>
  <c r="K33" i="10"/>
  <c r="V56" i="10"/>
  <c r="Z56" i="10"/>
  <c r="K48" i="10"/>
  <c r="AD56" i="10"/>
  <c r="K49" i="10"/>
  <c r="L49" i="10" s="1"/>
  <c r="K50" i="10"/>
  <c r="L50" i="10" s="1"/>
  <c r="K53" i="10"/>
  <c r="L53" i="10" s="1"/>
  <c r="K19" i="10"/>
  <c r="L19" i="10" s="1"/>
  <c r="K20" i="10"/>
  <c r="L20" i="10" s="1"/>
  <c r="K64" i="10"/>
  <c r="K12" i="10"/>
  <c r="K15" i="10"/>
  <c r="L15" i="10" s="1"/>
  <c r="T56" i="10"/>
  <c r="T80" i="10" s="1"/>
  <c r="X56" i="10"/>
  <c r="AB56" i="10"/>
  <c r="T79" i="10"/>
  <c r="X79" i="10"/>
  <c r="X80" i="10" s="1"/>
  <c r="Z79" i="10"/>
  <c r="Z80" i="10" s="1"/>
  <c r="AB79" i="10"/>
  <c r="AD79" i="10"/>
  <c r="AD80" i="10" s="1"/>
  <c r="AD42" i="10"/>
  <c r="AD43" i="10" s="1"/>
  <c r="K42" i="10"/>
  <c r="Y34" i="10"/>
  <c r="Y43" i="10" s="1"/>
  <c r="S56" i="10"/>
  <c r="U56" i="10"/>
  <c r="W56" i="10"/>
  <c r="Y56" i="10"/>
  <c r="AA56" i="10"/>
  <c r="AC56" i="10"/>
  <c r="S79" i="10"/>
  <c r="U79" i="10"/>
  <c r="W79" i="10"/>
  <c r="Y79" i="10"/>
  <c r="AA79" i="10"/>
  <c r="AC79" i="10"/>
  <c r="V79" i="10"/>
  <c r="V80" i="10" s="1"/>
  <c r="Z23" i="10"/>
  <c r="Z25" i="10" s="1"/>
  <c r="S23" i="10"/>
  <c r="S25" i="10" s="1"/>
  <c r="U23" i="10"/>
  <c r="U25" i="10" s="1"/>
  <c r="W23" i="10"/>
  <c r="W25" i="10" s="1"/>
  <c r="Y23" i="10"/>
  <c r="Y25" i="10" s="1"/>
  <c r="AA23" i="10"/>
  <c r="AA25" i="10" s="1"/>
  <c r="AC23" i="10"/>
  <c r="AC25" i="10" s="1"/>
  <c r="T23" i="10"/>
  <c r="T25" i="10" s="1"/>
  <c r="V23" i="10"/>
  <c r="V25" i="10" s="1"/>
  <c r="X23" i="10"/>
  <c r="X25" i="10" s="1"/>
  <c r="AB23" i="10"/>
  <c r="AB25" i="10" s="1"/>
  <c r="AD23" i="10"/>
  <c r="AD25" i="10" s="1"/>
  <c r="F41" i="10"/>
  <c r="F42" i="10" s="1"/>
  <c r="D42" i="10" s="1"/>
  <c r="F49" i="10"/>
  <c r="F53" i="10"/>
  <c r="F20" i="10"/>
  <c r="D20" i="10" s="1"/>
  <c r="F12" i="10"/>
  <c r="D12" i="10" s="1"/>
  <c r="F21" i="10"/>
  <c r="D21" i="10" s="1"/>
  <c r="F16" i="10"/>
  <c r="D16" i="10" s="1"/>
  <c r="F72" i="10"/>
  <c r="F66" i="10"/>
  <c r="D66" i="10" s="1"/>
  <c r="F50" i="10"/>
  <c r="D50" i="10" s="1"/>
  <c r="F19" i="10"/>
  <c r="D19" i="10" s="1"/>
  <c r="F64" i="10"/>
  <c r="F15" i="10"/>
  <c r="D15" i="10" s="1"/>
  <c r="F54" i="10"/>
  <c r="F65" i="10"/>
  <c r="D65" i="10" s="1"/>
  <c r="F33" i="10"/>
  <c r="F69" i="10"/>
  <c r="F48" i="10"/>
  <c r="AE16" i="10"/>
  <c r="AF16" i="10" s="1"/>
  <c r="AE33" i="10"/>
  <c r="AF33" i="10" s="1"/>
  <c r="AE41" i="10"/>
  <c r="AE7" i="10"/>
  <c r="AE30" i="10"/>
  <c r="AF30" i="10" s="1"/>
  <c r="AE29" i="10"/>
  <c r="AB80" i="10" l="1"/>
  <c r="AB82" i="10" s="1"/>
  <c r="K79" i="10"/>
  <c r="L64" i="10"/>
  <c r="L79" i="10" s="1"/>
  <c r="L80" i="10" s="1"/>
  <c r="Z82" i="10"/>
  <c r="K34" i="10"/>
  <c r="K43" i="10" s="1"/>
  <c r="L33" i="10"/>
  <c r="L34" i="10" s="1"/>
  <c r="L43" i="10" s="1"/>
  <c r="K23" i="10"/>
  <c r="K25" i="10" s="1"/>
  <c r="L12" i="10"/>
  <c r="L23" i="10" s="1"/>
  <c r="L25" i="10" s="1"/>
  <c r="K56" i="10"/>
  <c r="K80" i="10" s="1"/>
  <c r="L48" i="10"/>
  <c r="L56" i="10" s="1"/>
  <c r="AD82" i="10"/>
  <c r="X82" i="10"/>
  <c r="T82" i="10"/>
  <c r="AC80" i="10"/>
  <c r="AC82" i="10" s="1"/>
  <c r="W80" i="10"/>
  <c r="S80" i="10"/>
  <c r="W82" i="10"/>
  <c r="V82" i="10"/>
  <c r="AA80" i="10"/>
  <c r="AA82" i="10" s="1"/>
  <c r="Y80" i="10"/>
  <c r="Y82" i="10" s="1"/>
  <c r="U80" i="10"/>
  <c r="U82" i="10" s="1"/>
  <c r="F79" i="10"/>
  <c r="D79" i="10" s="1"/>
  <c r="F56" i="10"/>
  <c r="F23" i="10"/>
  <c r="D41" i="10"/>
  <c r="E41" i="10" s="1"/>
  <c r="AE42" i="10"/>
  <c r="AF42" i="10" s="1"/>
  <c r="AF41" i="10"/>
  <c r="AF7" i="10"/>
  <c r="AE8" i="10"/>
  <c r="AF29" i="10"/>
  <c r="E66" i="10"/>
  <c r="E65" i="10"/>
  <c r="E50" i="10"/>
  <c r="D33" i="10"/>
  <c r="D48" i="10"/>
  <c r="E48" i="10" s="1"/>
  <c r="L82" i="10" l="1"/>
  <c r="K82" i="10"/>
  <c r="F25" i="10"/>
  <c r="D25" i="10" s="1"/>
  <c r="D23" i="10"/>
  <c r="F80" i="10"/>
  <c r="D56" i="10"/>
  <c r="AF8" i="10"/>
  <c r="E33" i="10"/>
  <c r="D49" i="10"/>
  <c r="E49" i="10" l="1"/>
  <c r="D78" i="10"/>
  <c r="D59" i="10"/>
  <c r="D72" i="10"/>
  <c r="D54" i="10"/>
  <c r="D53" i="10"/>
  <c r="H49" i="10"/>
  <c r="H20" i="10"/>
  <c r="H76" i="10"/>
  <c r="H21" i="10"/>
  <c r="H72" i="10"/>
  <c r="H16" i="10"/>
  <c r="H32" i="10"/>
  <c r="H78" i="10"/>
  <c r="H19" i="10"/>
  <c r="H59" i="10"/>
  <c r="H54" i="10"/>
  <c r="H53" i="10"/>
  <c r="E20" i="10" l="1"/>
  <c r="E53" i="10"/>
  <c r="E54" i="10"/>
  <c r="E21" i="10"/>
  <c r="E16" i="10"/>
  <c r="E72" i="10"/>
  <c r="E59" i="10"/>
  <c r="E19" i="10"/>
  <c r="E78" i="10"/>
  <c r="D64" i="10"/>
  <c r="D69" i="10"/>
  <c r="H15" i="10"/>
  <c r="H64" i="10"/>
  <c r="H69" i="10"/>
  <c r="H12" i="10"/>
  <c r="H7" i="10"/>
  <c r="H41" i="10"/>
  <c r="E60" i="10" l="1"/>
  <c r="E12" i="10"/>
  <c r="E69" i="10"/>
  <c r="E64" i="10"/>
  <c r="E15" i="10"/>
  <c r="D80" i="10"/>
  <c r="H80" i="10"/>
  <c r="I46" i="3"/>
  <c r="E79" i="10" l="1"/>
  <c r="E23" i="10"/>
  <c r="E80" i="10"/>
  <c r="E82" i="10" l="1"/>
  <c r="AE50" i="10" l="1"/>
  <c r="AF50" i="10" s="1"/>
  <c r="AE49" i="10"/>
  <c r="AF49" i="10" s="1"/>
  <c r="AE53" i="10"/>
  <c r="AF59" i="10"/>
  <c r="AE19" i="10"/>
  <c r="AF19" i="10" s="1"/>
  <c r="AE20" i="10"/>
  <c r="AF20" i="10" s="1"/>
  <c r="AE64" i="10"/>
  <c r="AE12" i="10"/>
  <c r="AE15" i="10"/>
  <c r="AF15" i="10" s="1"/>
  <c r="AE21" i="10"/>
  <c r="AF21" i="10" s="1"/>
  <c r="AE54" i="10"/>
  <c r="AF54" i="10" s="1"/>
  <c r="AE75" i="10"/>
  <c r="AF75" i="10" s="1"/>
  <c r="AE72" i="10"/>
  <c r="AF72" i="10" s="1"/>
  <c r="AE66" i="10"/>
  <c r="AF66" i="10" s="1"/>
  <c r="AE65" i="10"/>
  <c r="AF65" i="10" s="1"/>
  <c r="AE69" i="10"/>
  <c r="AF69" i="10" s="1"/>
  <c r="AE48" i="10"/>
  <c r="AF60" i="10" l="1"/>
  <c r="AE56" i="10"/>
  <c r="AF64" i="10"/>
  <c r="AE79" i="10"/>
  <c r="AF79" i="10" s="1"/>
  <c r="AF12" i="10"/>
  <c r="AE23" i="10"/>
  <c r="AF48" i="10"/>
  <c r="AF53" i="10"/>
  <c r="AE80" i="10" l="1"/>
  <c r="AF56" i="10"/>
  <c r="AF23" i="10"/>
  <c r="AE25" i="10"/>
  <c r="B23" i="3"/>
  <c r="AF80" i="10" l="1"/>
  <c r="H30" i="10"/>
  <c r="H43" i="10" s="1"/>
  <c r="H82" i="10" s="1"/>
  <c r="C38" i="3" l="1"/>
  <c r="I43" i="3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D143" i="1" s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N4" i="6"/>
  <c r="L4" i="6" s="1"/>
  <c r="G4" i="6" s="1"/>
  <c r="N5" i="6"/>
  <c r="L5" i="6" s="1"/>
  <c r="G5" i="6" s="1"/>
  <c r="H5" i="6" s="1"/>
  <c r="N6" i="6"/>
  <c r="L6" i="6"/>
  <c r="G6" i="6" s="1"/>
  <c r="N7" i="6"/>
  <c r="L7" i="6" s="1"/>
  <c r="G7" i="6" s="1"/>
  <c r="N8" i="6"/>
  <c r="L8" i="6" s="1"/>
  <c r="G8" i="6" s="1"/>
  <c r="C8" i="6" s="1"/>
  <c r="N9" i="6"/>
  <c r="L9" i="6" s="1"/>
  <c r="G9" i="6" s="1"/>
  <c r="H9" i="6" s="1"/>
  <c r="N10" i="6"/>
  <c r="L10" i="6"/>
  <c r="G10" i="6" s="1"/>
  <c r="I10" i="6" s="1"/>
  <c r="N11" i="6"/>
  <c r="L11" i="6" s="1"/>
  <c r="G11" i="6" s="1"/>
  <c r="I11" i="6" s="1"/>
  <c r="N12" i="6"/>
  <c r="L12" i="6"/>
  <c r="G12" i="6" s="1"/>
  <c r="H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N27" i="6"/>
  <c r="L27" i="6" s="1"/>
  <c r="G27" i="6" s="1"/>
  <c r="N28" i="6"/>
  <c r="L28" i="6"/>
  <c r="G28" i="6" s="1"/>
  <c r="H28" i="6" s="1"/>
  <c r="N29" i="6"/>
  <c r="L29" i="6" s="1"/>
  <c r="G29" i="6" s="1"/>
  <c r="I29" i="6" s="1"/>
  <c r="N30" i="6"/>
  <c r="L30" i="6" s="1"/>
  <c r="G30" i="6" s="1"/>
  <c r="I30" i="6" s="1"/>
  <c r="M31" i="6"/>
  <c r="N31" i="6"/>
  <c r="L31" i="6" s="1"/>
  <c r="G31" i="6" s="1"/>
  <c r="H31" i="6" s="1"/>
  <c r="N32" i="6"/>
  <c r="L32" i="6" s="1"/>
  <c r="G32" i="6" s="1"/>
  <c r="C32" i="6" s="1"/>
  <c r="N33" i="6"/>
  <c r="L33" i="6"/>
  <c r="G33" i="6" s="1"/>
  <c r="I33" i="6" s="1"/>
  <c r="N34" i="6"/>
  <c r="L34" i="6" s="1"/>
  <c r="G34" i="6" s="1"/>
  <c r="C34" i="6" s="1"/>
  <c r="N35" i="6"/>
  <c r="L35" i="6"/>
  <c r="G35" i="6" s="1"/>
  <c r="N36" i="6"/>
  <c r="L36" i="6" s="1"/>
  <c r="G36" i="6" s="1"/>
  <c r="H36" i="6" s="1"/>
  <c r="N37" i="6"/>
  <c r="L37" i="6"/>
  <c r="G37" i="6" s="1"/>
  <c r="N38" i="6"/>
  <c r="L38" i="6" s="1"/>
  <c r="G38" i="6" s="1"/>
  <c r="H38" i="6" s="1"/>
  <c r="N39" i="6"/>
  <c r="L39" i="6"/>
  <c r="G39" i="6" s="1"/>
  <c r="N40" i="6"/>
  <c r="L40" i="6"/>
  <c r="G40" i="6" s="1"/>
  <c r="N41" i="6"/>
  <c r="L41" i="6" s="1"/>
  <c r="G41" i="6" s="1"/>
  <c r="H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I46" i="6" s="1"/>
  <c r="N47" i="6"/>
  <c r="L47" i="6" s="1"/>
  <c r="G47" i="6" s="1"/>
  <c r="H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G15" i="9" s="1"/>
  <c r="N5" i="9"/>
  <c r="L5" i="9"/>
  <c r="G5" i="9" s="1"/>
  <c r="H5" i="9" s="1"/>
  <c r="N6" i="9"/>
  <c r="L6" i="9"/>
  <c r="G6" i="9" s="1"/>
  <c r="N7" i="9"/>
  <c r="L7" i="9"/>
  <c r="G7" i="9" s="1"/>
  <c r="N8" i="9"/>
  <c r="L8" i="9" s="1"/>
  <c r="G8" i="9" s="1"/>
  <c r="N9" i="9"/>
  <c r="L9" i="9" s="1"/>
  <c r="G9" i="9" s="1"/>
  <c r="N10" i="9"/>
  <c r="L10" i="9"/>
  <c r="G10" i="9" s="1"/>
  <c r="I10" i="9" s="1"/>
  <c r="N11" i="9"/>
  <c r="L11" i="9" s="1"/>
  <c r="G11" i="9" s="1"/>
  <c r="C11" i="9" s="1"/>
  <c r="N12" i="9"/>
  <c r="L12" i="9" s="1"/>
  <c r="G12" i="9" s="1"/>
  <c r="N13" i="9"/>
  <c r="L13" i="9"/>
  <c r="G13" i="9" s="1"/>
  <c r="I13" i="9" s="1"/>
  <c r="N14" i="9"/>
  <c r="L14" i="9" s="1"/>
  <c r="G14" i="9" s="1"/>
  <c r="C14" i="9" s="1"/>
  <c r="F15" i="9"/>
  <c r="J15" i="9"/>
  <c r="N15" i="9"/>
  <c r="L15" i="9"/>
  <c r="N16" i="9"/>
  <c r="L16" i="9"/>
  <c r="N17" i="9"/>
  <c r="L17" i="9"/>
  <c r="N18" i="9"/>
  <c r="L18" i="9"/>
  <c r="N19" i="9"/>
  <c r="L19" i="9"/>
  <c r="G19" i="9" s="1"/>
  <c r="N20" i="9"/>
  <c r="L20" i="9" s="1"/>
  <c r="G20" i="9" s="1"/>
  <c r="H20" i="9" s="1"/>
  <c r="N21" i="9"/>
  <c r="L21" i="9" s="1"/>
  <c r="G21" i="9" s="1"/>
  <c r="N22" i="9"/>
  <c r="L22" i="9" s="1"/>
  <c r="G22" i="9" s="1"/>
  <c r="C22" i="9" s="1"/>
  <c r="N23" i="9"/>
  <c r="L23" i="9" s="1"/>
  <c r="G23" i="9" s="1"/>
  <c r="N24" i="9"/>
  <c r="L24" i="9"/>
  <c r="G24" i="9" s="1"/>
  <c r="C24" i="9" s="1"/>
  <c r="N25" i="9"/>
  <c r="L25" i="9"/>
  <c r="G25" i="9" s="1"/>
  <c r="I25" i="9" s="1"/>
  <c r="N26" i="9"/>
  <c r="L26" i="9"/>
  <c r="G26" i="9" s="1"/>
  <c r="N27" i="9"/>
  <c r="L27" i="9" s="1"/>
  <c r="G27" i="9" s="1"/>
  <c r="C28" i="9"/>
  <c r="H28" i="9"/>
  <c r="I28" i="9"/>
  <c r="N28" i="9"/>
  <c r="L28" i="9" s="1"/>
  <c r="N29" i="9"/>
  <c r="L29" i="9" s="1"/>
  <c r="G29" i="9" s="1"/>
  <c r="H29" i="9" s="1"/>
  <c r="N30" i="9"/>
  <c r="L30" i="9"/>
  <c r="G30" i="9" s="1"/>
  <c r="M31" i="9"/>
  <c r="M49" i="9"/>
  <c r="N31" i="9"/>
  <c r="L31" i="9"/>
  <c r="G31" i="9" s="1"/>
  <c r="H31" i="9" s="1"/>
  <c r="N32" i="9"/>
  <c r="L32" i="9" s="1"/>
  <c r="G32" i="9" s="1"/>
  <c r="I32" i="9" s="1"/>
  <c r="N33" i="9"/>
  <c r="L33" i="9" s="1"/>
  <c r="G33" i="9" s="1"/>
  <c r="C34" i="9"/>
  <c r="H34" i="9"/>
  <c r="I34" i="9"/>
  <c r="N34" i="9"/>
  <c r="L34" i="9" s="1"/>
  <c r="N35" i="9"/>
  <c r="L35" i="9" s="1"/>
  <c r="G35" i="9" s="1"/>
  <c r="N36" i="9"/>
  <c r="L36" i="9" s="1"/>
  <c r="G36" i="9" s="1"/>
  <c r="I36" i="9" s="1"/>
  <c r="N37" i="9"/>
  <c r="L37" i="9"/>
  <c r="G37" i="9" s="1"/>
  <c r="N38" i="9"/>
  <c r="L38" i="9" s="1"/>
  <c r="G38" i="9" s="1"/>
  <c r="C38" i="9" s="1"/>
  <c r="N39" i="9"/>
  <c r="L39" i="9"/>
  <c r="G39" i="9" s="1"/>
  <c r="H39" i="9" s="1"/>
  <c r="N40" i="9"/>
  <c r="L40" i="9" s="1"/>
  <c r="G40" i="9" s="1"/>
  <c r="I40" i="9" s="1"/>
  <c r="N41" i="9"/>
  <c r="L41" i="9"/>
  <c r="G41" i="9" s="1"/>
  <c r="N42" i="9"/>
  <c r="L42" i="9" s="1"/>
  <c r="G42" i="9" s="1"/>
  <c r="N43" i="9"/>
  <c r="L43" i="9"/>
  <c r="G43" i="9" s="1"/>
  <c r="C43" i="9" s="1"/>
  <c r="N44" i="9"/>
  <c r="L44" i="9" s="1"/>
  <c r="G44" i="9" s="1"/>
  <c r="C44" i="9" s="1"/>
  <c r="N45" i="9"/>
  <c r="L45" i="9" s="1"/>
  <c r="G45" i="9" s="1"/>
  <c r="I45" i="9" s="1"/>
  <c r="N46" i="9"/>
  <c r="L46" i="9"/>
  <c r="G46" i="9" s="1"/>
  <c r="I46" i="9" s="1"/>
  <c r="N47" i="9"/>
  <c r="L47" i="9" s="1"/>
  <c r="G47" i="9" s="1"/>
  <c r="N48" i="9"/>
  <c r="L48" i="9"/>
  <c r="G48" i="9" s="1"/>
  <c r="C48" i="9" s="1"/>
  <c r="F49" i="9"/>
  <c r="J49" i="9"/>
  <c r="J51" i="9"/>
  <c r="N53" i="9"/>
  <c r="N54" i="9" s="1"/>
  <c r="N55" i="9"/>
  <c r="I23" i="9"/>
  <c r="I48" i="6"/>
  <c r="I41" i="9"/>
  <c r="I12" i="9"/>
  <c r="G49" i="6"/>
  <c r="G55" i="6" s="1"/>
  <c r="N56" i="6"/>
  <c r="H25" i="6"/>
  <c r="C6" i="9"/>
  <c r="I23" i="6"/>
  <c r="C7" i="6"/>
  <c r="G15" i="6"/>
  <c r="G53" i="6" s="1"/>
  <c r="N54" i="6" s="1"/>
  <c r="C45" i="9"/>
  <c r="H45" i="9"/>
  <c r="C25" i="9"/>
  <c r="C30" i="9"/>
  <c r="C21" i="9"/>
  <c r="C29" i="6"/>
  <c r="I21" i="6"/>
  <c r="G53" i="9"/>
  <c r="G51" i="6"/>
  <c r="I41" i="6"/>
  <c r="C41" i="6"/>
  <c r="C10" i="6"/>
  <c r="H10" i="6"/>
  <c r="C46" i="9"/>
  <c r="H46" i="9"/>
  <c r="C7" i="9"/>
  <c r="I7" i="9"/>
  <c r="H7" i="9"/>
  <c r="C47" i="6"/>
  <c r="I47" i="6"/>
  <c r="C33" i="6"/>
  <c r="H33" i="6"/>
  <c r="H30" i="6"/>
  <c r="C30" i="6"/>
  <c r="H13" i="6"/>
  <c r="C13" i="6"/>
  <c r="I13" i="6"/>
  <c r="I9" i="6"/>
  <c r="C9" i="6"/>
  <c r="C5" i="6"/>
  <c r="I5" i="6"/>
  <c r="C39" i="9"/>
  <c r="I39" i="9"/>
  <c r="I6" i="6"/>
  <c r="C6" i="6"/>
  <c r="H6" i="6"/>
  <c r="H46" i="6"/>
  <c r="C46" i="6"/>
  <c r="I36" i="6"/>
  <c r="C36" i="6"/>
  <c r="H32" i="6"/>
  <c r="I32" i="6"/>
  <c r="H22" i="6"/>
  <c r="C22" i="6"/>
  <c r="I22" i="6"/>
  <c r="I12" i="6"/>
  <c r="C12" i="6"/>
  <c r="I38" i="6"/>
  <c r="C38" i="6"/>
  <c r="H40" i="9"/>
  <c r="C40" i="9"/>
  <c r="C35" i="6"/>
  <c r="I35" i="6"/>
  <c r="H35" i="6"/>
  <c r="I28" i="6"/>
  <c r="C28" i="6"/>
  <c r="C21" i="6"/>
  <c r="I39" i="6"/>
  <c r="H25" i="9"/>
  <c r="I35" i="9"/>
  <c r="H29" i="6"/>
  <c r="I8" i="9"/>
  <c r="C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 s="1"/>
  <c r="H19" i="9"/>
  <c r="H49" i="9" s="1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 s="1"/>
  <c r="G51" i="9"/>
  <c r="H51" i="9" l="1"/>
  <c r="H39" i="6"/>
  <c r="C39" i="6"/>
  <c r="H7" i="6"/>
  <c r="I7" i="6"/>
  <c r="C4" i="6"/>
  <c r="H4" i="6"/>
  <c r="H15" i="6" s="1"/>
  <c r="H51" i="6" s="1"/>
  <c r="I4" i="6"/>
  <c r="I30" i="9"/>
  <c r="H30" i="9"/>
  <c r="I21" i="9"/>
  <c r="H21" i="9"/>
  <c r="H35" i="9"/>
  <c r="C35" i="9"/>
  <c r="H6" i="9"/>
  <c r="I6" i="9"/>
  <c r="H48" i="9"/>
  <c r="I48" i="9"/>
  <c r="C8" i="9"/>
  <c r="H8" i="9"/>
  <c r="C26" i="6"/>
  <c r="H26" i="6"/>
  <c r="I26" i="6"/>
  <c r="G143" i="1"/>
  <c r="D56" i="1"/>
  <c r="D144" i="1" s="1"/>
  <c r="G56" i="1"/>
  <c r="G144" i="1"/>
  <c r="F3" i="13"/>
  <c r="D13" i="13"/>
  <c r="D3" i="13" s="1"/>
  <c r="B21" i="3" l="1"/>
  <c r="B25" i="3" s="1"/>
  <c r="C28" i="3" s="1"/>
  <c r="C30" i="3" s="1"/>
  <c r="C42" i="3" s="1"/>
  <c r="D116" i="13"/>
  <c r="S32" i="10" l="1"/>
  <c r="AE32" i="10" s="1"/>
  <c r="AF32" i="10" s="1"/>
  <c r="S31" i="10"/>
  <c r="S34" i="10" s="1"/>
  <c r="S43" i="10" s="1"/>
  <c r="S82" i="10" s="1"/>
  <c r="F32" i="10" l="1"/>
  <c r="D32" i="10" s="1"/>
  <c r="E32" i="10" s="1"/>
  <c r="F31" i="10"/>
  <c r="AE31" i="10"/>
  <c r="AF31" i="10" s="1"/>
  <c r="F34" i="10" l="1"/>
  <c r="D34" i="10" s="1"/>
  <c r="D31" i="10"/>
  <c r="E31" i="10" s="1"/>
  <c r="F43" i="10"/>
  <c r="F82" i="10" s="1"/>
  <c r="D82" i="10" s="1"/>
  <c r="AE34" i="10"/>
  <c r="AF34" i="10" s="1"/>
  <c r="D43" i="10" l="1"/>
  <c r="AE43" i="10"/>
  <c r="AF43" i="10" s="1"/>
  <c r="AE82" i="10" l="1"/>
  <c r="AF82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Loss 2016</t>
        </r>
      </text>
    </comment>
  </commentList>
</comments>
</file>

<file path=xl/sharedStrings.xml><?xml version="1.0" encoding="utf-8"?>
<sst xmlns="http://schemas.openxmlformats.org/spreadsheetml/2006/main" count="2503" uniqueCount="1062">
  <si>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</si>
  <si>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</si>
  <si>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</si>
  <si>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</si>
  <si>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</si>
  <si>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</si>
  <si>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</si>
  <si>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</si>
  <si>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</si>
  <si>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</si>
  <si>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</si>
  <si>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</si>
  <si>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</si>
  <si>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</si>
  <si>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</si>
  <si>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</si>
  <si>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</si>
  <si>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</si>
  <si>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</si>
  <si>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</si>
  <si>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</si>
  <si>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</si>
  <si>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</si>
  <si>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</si>
  <si>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</si>
  <si>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</si>
  <si>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</si>
  <si>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</si>
  <si>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</si>
  <si>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</si>
  <si>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</si>
  <si>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</si>
  <si>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</si>
  <si>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</si>
  <si>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</si>
  <si>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</si>
  <si>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</si>
  <si>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</si>
  <si>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</si>
  <si>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</si>
  <si>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</si>
  <si>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</si>
  <si>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</si>
  <si>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</si>
  <si>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</si>
  <si>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</si>
  <si>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</si>
  <si>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</si>
  <si>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</si>
  <si>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</si>
  <si>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</si>
  <si>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</si>
  <si>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</si>
  <si>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</si>
  <si>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</si>
  <si>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</si>
  <si>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</si>
  <si>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</si>
  <si>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</si>
  <si>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</si>
  <si>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</si>
  <si>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</si>
  <si>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</si>
  <si>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</si>
  <si>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</si>
  <si>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</si>
  <si>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</si>
  <si>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</si>
  <si>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</si>
  <si>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</si>
  <si>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</si>
  <si>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</si>
  <si>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</si>
  <si>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</si>
  <si>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</si>
  <si>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</si>
  <si>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</si>
  <si>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</si>
  <si>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</si>
  <si>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</si>
  <si>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</si>
  <si>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</si>
  <si>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</si>
  <si>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</si>
  <si>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</si>
  <si>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</si>
  <si>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</si>
  <si>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</si>
  <si>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</si>
  <si>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</si>
  <si>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</si>
  <si>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</si>
  <si>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</si>
  <si>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</si>
  <si>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</si>
  <si>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</si>
  <si>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</si>
  <si>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</si>
  <si>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</si>
  <si>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</si>
  <si>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</si>
  <si>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</si>
  <si>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</si>
  <si>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</si>
  <si>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</si>
  <si>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</si>
  <si>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</si>
  <si>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</si>
  <si>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</si>
  <si>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</si>
  <si>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</si>
  <si>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</si>
  <si>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</si>
  <si>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</si>
  <si>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</si>
  <si>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</si>
  <si>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</si>
  <si>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</si>
  <si>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</si>
  <si>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</si>
  <si>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</si>
  <si>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</si>
  <si>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</si>
  <si>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</si>
  <si>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</si>
  <si>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</si>
  <si>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</si>
  <si>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</si>
  <si>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</si>
  <si>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</si>
  <si>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</si>
  <si>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</si>
  <si>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</si>
  <si>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</si>
  <si>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</si>
  <si>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</si>
  <si>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</si>
  <si>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</si>
  <si>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</si>
  <si>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</si>
  <si>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</si>
  <si>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</si>
  <si>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</si>
  <si>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</si>
  <si>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</si>
  <si>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</si>
  <si>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</si>
  <si>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</si>
  <si>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</si>
  <si>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</si>
  <si>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</si>
  <si>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</si>
  <si>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</si>
  <si>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</si>
  <si>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</si>
  <si>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</si>
  <si>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</si>
  <si>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</si>
  <si>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</si>
  <si>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</si>
  <si>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</si>
  <si>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</si>
  <si>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</si>
  <si>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</si>
  <si>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</si>
  <si>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</si>
  <si>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</si>
  <si>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</si>
  <si>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</si>
  <si>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</si>
  <si>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</si>
  <si>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</si>
  <si>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</si>
  <si>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</si>
  <si>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</si>
  <si>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</si>
  <si>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</si>
  <si>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</si>
  <si>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</si>
  <si>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</si>
  <si>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</si>
  <si>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</si>
  <si>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</si>
  <si>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</si>
  <si>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</si>
  <si>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</si>
  <si>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</si>
  <si>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</si>
  <si>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</si>
  <si>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</si>
  <si>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</si>
  <si>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</si>
  <si>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</si>
  <si>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</si>
  <si>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</si>
  <si>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</si>
  <si>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</si>
  <si>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</si>
  <si>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</si>
  <si>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</si>
  <si>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</si>
  <si>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</si>
  <si>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</si>
  <si>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</si>
  <si>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</si>
  <si>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</si>
  <si>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</si>
  <si>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</si>
  <si>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</si>
  <si>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</si>
  <si>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</si>
  <si>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</si>
  <si>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</si>
  <si>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</si>
  <si>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</si>
  <si>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</si>
  <si>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</si>
  <si>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</si>
  <si>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</si>
  <si>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</si>
  <si>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</si>
  <si>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</si>
  <si>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</si>
  <si>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</si>
  <si>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</si>
  <si>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</si>
  <si>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</si>
  <si>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</si>
  <si>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</si>
  <si>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</si>
  <si>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</si>
  <si>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</si>
  <si>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</si>
  <si>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</si>
  <si>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</si>
  <si>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</si>
  <si>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</si>
  <si>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</si>
  <si>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</si>
  <si>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</si>
  <si>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</si>
  <si>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</si>
  <si>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</si>
  <si>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</si>
  <si>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</si>
  <si>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</si>
  <si>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</si>
  <si>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</si>
  <si>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</si>
  <si>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</si>
  <si>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</si>
  <si>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</si>
  <si>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</si>
  <si>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</si>
  <si>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</si>
  <si>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</si>
  <si>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</si>
  <si>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</si>
  <si>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</si>
  <si>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</si>
  <si>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</si>
  <si>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</si>
  <si>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</si>
  <si>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</si>
  <si>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</si>
  <si>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</si>
  <si>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</si>
  <si>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</si>
  <si>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</si>
  <si>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</si>
  <si>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</si>
  <si>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</si>
  <si>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</si>
  <si>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</si>
  <si>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</si>
  <si>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</si>
  <si>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</si>
  <si>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</si>
  <si>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</si>
  <si>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</si>
  <si>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</si>
  <si>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</si>
  <si>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</si>
  <si>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</si>
  <si>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</si>
  <si>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</si>
  <si>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</si>
  <si>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</si>
  <si>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</si>
  <si>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</si>
  <si>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</si>
  <si>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</si>
  <si>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</si>
  <si>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</si>
  <si>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</si>
  <si>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</si>
  <si>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</si>
  <si>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</si>
  <si>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</si>
  <si>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</si>
  <si>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</si>
  <si>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</si>
  <si>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</si>
  <si>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</si>
  <si>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</si>
  <si>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</si>
  <si>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</si>
  <si>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</si>
  <si>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</si>
  <si>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</si>
  <si>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</si>
  <si>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</si>
  <si>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</si>
  <si>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</si>
  <si>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</si>
  <si>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</si>
  <si>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</si>
  <si>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</si>
  <si>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</si>
  <si>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</si>
  <si>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</si>
  <si>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</si>
  <si>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</si>
  <si>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</si>
  <si>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</si>
  <si>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</si>
  <si>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</si>
  <si>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</si>
  <si>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</si>
  <si>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</si>
  <si>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</si>
  <si>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</si>
  <si>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</si>
  <si>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</si>
  <si>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</si>
  <si>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</si>
  <si>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</si>
  <si>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</si>
  <si>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</si>
  <si>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</si>
  <si>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</si>
  <si>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</si>
  <si>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</si>
  <si>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</si>
  <si>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</si>
  <si>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</si>
  <si>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</si>
  <si>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</si>
  <si>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</si>
  <si>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</si>
  <si>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</si>
  <si>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</si>
  <si>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</si>
  <si>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</si>
  <si>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</si>
  <si>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</si>
  <si>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</si>
  <si>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</si>
  <si>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</si>
  <si>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</si>
  <si>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</si>
  <si>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</si>
  <si>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</si>
  <si>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</si>
  <si>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</si>
  <si>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</si>
  <si>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</si>
  <si>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</si>
  <si>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</si>
  <si>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</si>
  <si>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</si>
  <si>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</si>
  <si>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</si>
  <si>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</si>
  <si>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</si>
  <si>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</si>
  <si>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</si>
  <si>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</si>
  <si>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</si>
  <si>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</si>
  <si>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</si>
  <si>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</si>
  <si>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</si>
  <si>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</si>
  <si>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</si>
  <si>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</si>
  <si>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</si>
  <si>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</si>
  <si>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</si>
  <si>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</si>
  <si>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</si>
  <si>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</si>
  <si>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</si>
  <si>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</si>
  <si>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</si>
  <si>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</si>
  <si>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</si>
  <si>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</si>
  <si>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</si>
  <si>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</si>
  <si>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</si>
  <si>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</si>
  <si>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</si>
  <si>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</si>
  <si>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</si>
  <si>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</si>
  <si>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</si>
  <si>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</si>
  <si>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</si>
  <si>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</si>
  <si>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</si>
  <si>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</si>
  <si>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</si>
  <si>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</si>
  <si>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</si>
  <si>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</si>
  <si>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</si>
  <si>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</si>
  <si>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</si>
  <si>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</si>
  <si>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</si>
  <si>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</si>
  <si>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</si>
  <si>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</si>
  <si>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</si>
  <si>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</si>
  <si>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</si>
  <si>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</si>
  <si>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</si>
  <si>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</si>
  <si>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</si>
  <si>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</si>
  <si>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</si>
  <si>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</si>
  <si>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</si>
  <si>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</si>
  <si>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</si>
  <si>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</si>
  <si>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</si>
  <si>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</si>
  <si>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</si>
  <si>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</si>
  <si>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</si>
  <si>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</si>
  <si>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</si>
  <si>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</si>
  <si>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</si>
  <si>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</si>
  <si>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</si>
  <si>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</si>
  <si>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</si>
  <si>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</si>
  <si>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</si>
  <si>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</si>
  <si>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</si>
  <si>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</si>
  <si>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</si>
  <si>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</si>
  <si>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</si>
  <si>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</si>
  <si>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</si>
  <si>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</si>
  <si>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</si>
  <si>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</si>
  <si>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</si>
  <si>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</si>
  <si>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</si>
  <si>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</si>
  <si>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</si>
  <si>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</si>
  <si>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</si>
  <si>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</si>
  <si>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</si>
  <si>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</si>
  <si>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</si>
  <si>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</si>
  <si>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</si>
  <si>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</si>
  <si>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</si>
  <si>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</si>
  <si>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</si>
  <si>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</si>
  <si>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</si>
  <si>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</si>
  <si>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</si>
  <si>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</si>
  <si>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</si>
  <si>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</si>
  <si>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</si>
  <si>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</si>
  <si>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</si>
  <si>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</si>
  <si>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</si>
  <si>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</si>
  <si>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</si>
  <si>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</si>
  <si>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</si>
  <si>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</si>
  <si>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</si>
  <si>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</si>
  <si>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</si>
  <si>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</si>
  <si>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</si>
  <si>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</si>
  <si>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</si>
  <si>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</si>
  <si>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</si>
  <si>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</si>
  <si>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</si>
  <si>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</si>
  <si>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</si>
  <si>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</si>
  <si>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</si>
  <si>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</si>
  <si>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</si>
  <si>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</si>
  <si>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</si>
  <si>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</si>
  <si>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</si>
  <si>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</si>
  <si>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</si>
  <si>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</si>
  <si>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</si>
  <si>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</si>
  <si>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</si>
  <si>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</si>
  <si>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</si>
  <si>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</si>
  <si>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</si>
  <si>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</si>
  <si>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</si>
  <si>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</si>
  <si>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</si>
  <si>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</si>
  <si>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</si>
  <si>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</si>
  <si>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</si>
  <si>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</si>
  <si>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</si>
  <si>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</si>
  <si>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</si>
  <si>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</si>
  <si>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</si>
  <si>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</si>
  <si>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</si>
  <si>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</si>
  <si>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</si>
  <si>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</si>
  <si>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</si>
  <si>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</si>
  <si>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</si>
  <si>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</si>
  <si>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</si>
  <si>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</si>
  <si>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</si>
  <si>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</si>
  <si>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</si>
  <si>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</si>
  <si>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</si>
  <si>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</si>
  <si>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</si>
  <si>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</si>
  <si>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</si>
  <si>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</si>
  <si>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</si>
  <si>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</si>
  <si>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</si>
  <si>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</si>
  <si>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</si>
  <si>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</si>
  <si>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</si>
  <si>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</si>
  <si>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</si>
  <si>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</si>
  <si>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</si>
  <si>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</si>
  <si>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</si>
  <si>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</si>
  <si>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</si>
  <si>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</si>
  <si>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</si>
  <si>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</si>
  <si>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</si>
  <si>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</si>
  <si>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</si>
  <si>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</si>
  <si>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</si>
  <si>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</si>
  <si>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</si>
  <si>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</si>
  <si>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</si>
  <si>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</si>
  <si>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</si>
  <si>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</si>
  <si>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</si>
  <si>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</si>
  <si>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</si>
  <si>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</si>
  <si>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</si>
  <si>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</si>
  <si>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</si>
  <si>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</si>
  <si>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</si>
  <si>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</si>
  <si>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</si>
  <si>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</si>
  <si>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</si>
  <si>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</si>
  <si>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</si>
  <si>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</si>
  <si>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</si>
  <si>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</si>
  <si>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</si>
  <si>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</si>
  <si>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</si>
  <si>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</si>
  <si>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</si>
  <si>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</si>
  <si>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</si>
  <si>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</si>
  <si>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</si>
  <si>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</si>
  <si>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</si>
  <si>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</si>
  <si>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</si>
  <si>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</si>
  <si>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</si>
  <si>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</si>
  <si>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</si>
  <si>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</si>
  <si>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</si>
  <si>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</si>
  <si>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</si>
  <si>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</si>
  <si>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</si>
  <si>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</si>
  <si>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</si>
  <si>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</si>
  <si>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</si>
  <si>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</si>
  <si>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</si>
  <si>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</si>
  <si>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</si>
  <si>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</si>
  <si>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</si>
  <si>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</si>
  <si>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</si>
  <si>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</si>
  <si>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</si>
  <si>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</si>
  <si>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</si>
  <si>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</si>
  <si>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</si>
  <si>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</si>
  <si>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</si>
  <si>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</si>
  <si>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</si>
  <si>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</si>
  <si>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</si>
  <si>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</si>
  <si>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</si>
  <si>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</si>
  <si>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</si>
  <si>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</si>
  <si>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</si>
  <si>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</si>
  <si>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</si>
  <si>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</si>
  <si>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</si>
  <si>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</si>
  <si>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</si>
  <si>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</si>
  <si>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</si>
  <si>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</si>
  <si>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</si>
  <si>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</si>
  <si>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</si>
  <si>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</si>
  <si>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</si>
  <si>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</si>
  <si>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</si>
  <si>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</si>
  <si>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</si>
  <si>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</si>
  <si>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</si>
  <si>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</si>
  <si>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</si>
  <si>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</si>
  <si>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</si>
  <si>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</si>
  <si>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</si>
  <si>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</si>
  <si>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</si>
  <si>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</si>
  <si>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</si>
  <si>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</si>
  <si>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</si>
  <si>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</si>
  <si>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</si>
  <si>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</si>
  <si>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</si>
  <si>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</si>
  <si>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</si>
  <si>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</si>
  <si>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</si>
  <si>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</si>
  <si>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</si>
  <si>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</si>
  <si>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</si>
  <si>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</si>
  <si>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</si>
  <si>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</si>
  <si>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</si>
  <si>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</si>
  <si>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</si>
  <si>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</si>
  <si>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</si>
  <si>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</si>
  <si>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</si>
  <si>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</si>
  <si>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</si>
  <si>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</si>
  <si>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</si>
  <si>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</si>
  <si>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</si>
  <si>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</si>
  <si>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</si>
  <si>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</si>
  <si>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</si>
  <si>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</si>
  <si>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</si>
  <si>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</si>
  <si>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</si>
  <si>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</si>
  <si>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</si>
  <si>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</si>
  <si>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</si>
  <si>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</si>
  <si>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</si>
  <si>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</si>
  <si>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</si>
  <si>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</si>
  <si>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</si>
  <si>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</si>
  <si>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</si>
  <si>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</si>
  <si>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</si>
  <si>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</si>
  <si>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</si>
  <si>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</si>
  <si>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</si>
  <si>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</si>
  <si>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</si>
  <si>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</si>
  <si>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</si>
  <si>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</si>
  <si>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</si>
  <si>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</si>
  <si>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</si>
  <si>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</si>
  <si>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</si>
  <si>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</si>
  <si>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</si>
  <si>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</si>
  <si>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</si>
  <si>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</si>
  <si>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</si>
  <si>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</si>
  <si>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</si>
  <si>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</si>
  <si>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</si>
  <si>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</si>
  <si>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</si>
  <si>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</si>
  <si>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</si>
  <si>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</si>
  <si>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</si>
  <si>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</si>
  <si>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</si>
  <si>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</si>
  <si>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</si>
  <si>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</si>
  <si>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</si>
  <si>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</si>
  <si>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</si>
  <si>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</si>
  <si>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</si>
  <si>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</si>
  <si>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</si>
  <si>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</si>
  <si>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</si>
  <si>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</si>
  <si>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</si>
  <si>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</si>
  <si>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</si>
  <si>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</si>
  <si>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</si>
  <si>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</si>
  <si>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</si>
  <si>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</si>
  <si>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</si>
  <si>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</si>
  <si>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</si>
  <si>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</si>
  <si>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</si>
  <si>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</si>
  <si>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</si>
  <si>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</si>
  <si>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</si>
  <si>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</si>
  <si>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</si>
  <si>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</si>
  <si>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</si>
  <si>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</si>
  <si>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</si>
  <si>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</si>
  <si>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</si>
  <si>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</si>
  <si>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</si>
  <si>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</si>
  <si>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</si>
  <si>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</si>
  <si>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</si>
  <si>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</si>
  <si>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</si>
  <si>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</si>
  <si>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</si>
  <si>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</si>
  <si>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</si>
  <si>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</si>
  <si>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</si>
  <si>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</si>
  <si>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</si>
  <si>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</si>
  <si>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</si>
  <si>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</si>
  <si>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</si>
  <si>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</si>
  <si>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</si>
  <si>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</si>
  <si>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</si>
  <si>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</si>
  <si>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</si>
  <si>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</si>
  <si>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</si>
  <si>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</si>
  <si>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</si>
  <si>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</si>
  <si>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</si>
  <si>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</si>
  <si>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</si>
  <si>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</si>
  <si>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</si>
  <si>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</si>
  <si>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</si>
  <si>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</si>
  <si>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</si>
  <si>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</si>
  <si>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</si>
  <si>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</si>
  <si>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</si>
  <si>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</si>
  <si>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</si>
  <si>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</si>
  <si>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</si>
  <si>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</si>
  <si>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</si>
  <si>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</si>
  <si>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</si>
  <si>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</si>
  <si>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</si>
  <si>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</si>
  <si>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</si>
  <si>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</si>
  <si>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</si>
  <si>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</si>
  <si>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</si>
  <si>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</si>
  <si>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</si>
  <si>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</si>
  <si>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</si>
  <si>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</si>
  <si>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</si>
  <si>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</si>
  <si>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</si>
  <si>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</si>
  <si>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</si>
  <si>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</si>
  <si>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</si>
  <si>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</si>
  <si>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</si>
  <si>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</si>
  <si>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</si>
  <si>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</si>
  <si>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</si>
  <si>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</si>
  <si>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</si>
  <si>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</si>
  <si>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</si>
  <si>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</si>
  <si>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</si>
  <si>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</si>
  <si>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</si>
  <si>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</si>
  <si>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</si>
  <si>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</si>
  <si>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</si>
  <si>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</si>
  <si>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</si>
  <si>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</si>
  <si>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</si>
  <si>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</si>
  <si>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</si>
  <si>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</si>
  <si>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</si>
  <si>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</si>
  <si>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</si>
  <si>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</si>
  <si>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</si>
  <si>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</si>
  <si>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</si>
  <si>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</si>
  <si>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</si>
  <si>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</si>
  <si>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</si>
  <si>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</si>
  <si>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</si>
  <si>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</si>
  <si>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</si>
  <si>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</si>
  <si>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</si>
  <si>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</si>
  <si>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</si>
  <si>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</si>
  <si>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</si>
  <si>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</si>
  <si>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</si>
  <si>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</si>
  <si>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</si>
  <si>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</si>
  <si>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</si>
  <si>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</si>
  <si>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</si>
  <si>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</si>
  <si>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</si>
  <si>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</si>
  <si>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</si>
  <si>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</si>
  <si>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</si>
  <si>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</si>
  <si>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</si>
  <si>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</si>
  <si>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</si>
  <si>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</si>
  <si>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</si>
  <si>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</si>
  <si>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</si>
  <si>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</si>
  <si>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</si>
  <si>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</si>
  <si>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</si>
  <si>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</si>
  <si>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</si>
  <si>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</si>
  <si>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</si>
  <si>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</si>
  <si>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</si>
  <si>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</si>
  <si>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</si>
  <si>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</si>
  <si>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</si>
  <si>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</si>
  <si>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</si>
  <si>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</si>
  <si>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</si>
  <si>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</si>
  <si>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</si>
  <si>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</si>
  <si>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</si>
  <si>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</si>
  <si>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</si>
  <si>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</si>
  <si>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</si>
  <si>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</si>
  <si>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</si>
  <si>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</si>
  <si>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</si>
  <si>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</si>
  <si>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</si>
  <si>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</si>
  <si>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</si>
  <si>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</si>
  <si>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</si>
  <si>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</si>
  <si>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</si>
  <si>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</si>
  <si>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</si>
  <si>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</si>
  <si>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</si>
  <si>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</si>
  <si>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</si>
  <si>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</si>
  <si>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</si>
  <si>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</si>
  <si>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</si>
  <si>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</si>
  <si>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</si>
  <si>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</si>
  <si>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%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</si>
  <si>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</si>
  <si>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</si>
  <si>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</si>
  <si>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</si>
  <si>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</si>
  <si>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</si>
  <si>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</si>
  <si>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</si>
  <si>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</si>
  <si>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</si>
  <si>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</si>
  <si>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</si>
  <si>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</si>
  <si>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</si>
  <si>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</si>
  <si>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</si>
  <si>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</si>
  <si>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</si>
  <si>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</si>
  <si>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</si>
  <si>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</si>
  <si>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</si>
  <si>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</si>
  <si>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</si>
  <si>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</si>
  <si>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</si>
  <si>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</si>
  <si>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</si>
  <si>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</si>
  <si>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</si>
  <si>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</si>
  <si>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</si>
  <si>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</si>
  <si>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</si>
  <si>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</si>
  <si>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</si>
  <si>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</si>
  <si>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</si>
  <si>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</si>
  <si>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</si>
  <si>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</si>
  <si>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</si>
  <si>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Variance Budget to Forecast</t>
  </si>
  <si>
    <t>Aug - Dec</t>
  </si>
  <si>
    <t>Forecast
KN</t>
  </si>
  <si>
    <t>FORECAST August - December 2017</t>
  </si>
  <si>
    <t>Budget - YTD
2017</t>
  </si>
  <si>
    <t>Budget    2017 Aug to Dec</t>
  </si>
  <si>
    <t>P6340</t>
  </si>
  <si>
    <t>Investment Management Fees</t>
  </si>
  <si>
    <t>Forecast
7+5</t>
  </si>
  <si>
    <t>Variance</t>
  </si>
  <si>
    <t>Budget/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</si>
</sst>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#,##0.0000"/>
    <numFmt numFmtId="172" formatCode="\ #,##0_);[Red]\(#,##0\);\ &quot;-&quot;_);_-@_-"/>
    <numFmt numFmtId="173" formatCode="_-* #,##0_-;\-* #,##0_-;_-* &quot;-&quot;??_-;_-@_-"/>
    <numFmt numFmtId="174" formatCode="_(\ #,##0.00_);\(* #,##0.00\);\ &quot;-&quot;_);_-@_-"/>
    <numFmt numFmtId="175" formatCode="mmmm\ yyyy"/>
    <numFmt numFmtId="176" formatCode="&quot;£&quot;#,##0.00;\(&quot;£&quot;#,##0.00\)"/>
    <numFmt numFmtId="177" formatCode="\ #,##0_);[Red]\(* #,##0\);\ &quot;-&quot;_);_-@_-"/>
    <numFmt numFmtId="178" formatCode="#,##0.00;[Red]\(#,##0.00\)"/>
    <numFmt numFmtId="179" formatCode="#,##0.00000"/>
    <numFmt numFmtId="180" formatCode="&quot;£&quot;#,##0;[Red]\(&quot;£&quot;#,##0\)"/>
  </numFmts>
  <fonts count="2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8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164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41">
    <xf numFmtId="0" fontId="0" fillId="0" borderId="0" xfId="0"/>
    <xf numFmtId="165" fontId="0" fillId="0" borderId="0" xfId="0" applyNumberFormat="1"/>
    <xf numFmtId="0" fontId="152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3" fillId="0" borderId="0" xfId="0" applyFont="1" applyFill="1"/>
    <xf numFmtId="165" fontId="151" fillId="0" borderId="0" xfId="0" applyNumberFormat="1" applyFont="1" applyFill="1"/>
    <xf numFmtId="0" fontId="0" fillId="0" borderId="0" xfId="0" applyFill="1" applyAlignment="1">
      <alignment wrapText="1"/>
    </xf>
    <xf numFmtId="165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7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5" fontId="153" fillId="0" borderId="1" xfId="0" applyNumberFormat="1" applyFont="1" applyFill="1" applyBorder="1"/>
    <xf numFmtId="165" fontId="152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4" fillId="2" borderId="0" xfId="0" applyNumberFormat="1" applyFont="1" applyFill="1" applyBorder="1"/>
    <xf numFmtId="165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5" fontId="154" fillId="2" borderId="1" xfId="0" applyNumberFormat="1" applyFont="1" applyFill="1" applyBorder="1"/>
    <xf numFmtId="165" fontId="154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5" fontId="151" fillId="3" borderId="0" xfId="0" applyNumberFormat="1" applyFont="1" applyFill="1"/>
    <xf numFmtId="165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5" fontId="151" fillId="3" borderId="0" xfId="0" applyNumberFormat="1" applyFont="1" applyFill="1" applyBorder="1"/>
    <xf numFmtId="168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1" fillId="4" borderId="10" xfId="0" applyNumberFormat="1" applyFont="1" applyFill="1" applyBorder="1"/>
    <xf numFmtId="165" fontId="151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59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5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5" fontId="151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1" fillId="4" borderId="13" xfId="0" applyNumberFormat="1" applyFont="1" applyFill="1" applyBorder="1"/>
    <xf numFmtId="0" fontId="151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1" fontId="0" fillId="0" borderId="0" xfId="0" applyNumberFormat="1"/>
    <xf numFmtId="171" fontId="153" fillId="0" borderId="0" xfId="0" applyNumberFormat="1" applyFont="1" applyFill="1" applyBorder="1"/>
    <xf numFmtId="164" fontId="0" fillId="0" borderId="0" xfId="11177" applyFont="1" applyFill="1"/>
    <xf numFmtId="0" fontId="186" fillId="0" borderId="0" xfId="0" applyFont="1"/>
    <xf numFmtId="1" fontId="186" fillId="0" borderId="0" xfId="0" applyNumberFormat="1" applyFont="1"/>
    <xf numFmtId="0" fontId="187" fillId="0" borderId="0" xfId="0" applyFont="1"/>
    <xf numFmtId="0" fontId="187" fillId="0" borderId="0" xfId="0" applyFont="1" applyBorder="1"/>
    <xf numFmtId="0" fontId="186" fillId="0" borderId="0" xfId="0" applyFont="1" applyAlignment="1">
      <alignment vertical="top"/>
    </xf>
    <xf numFmtId="0" fontId="186" fillId="0" borderId="0" xfId="0" applyFont="1" applyBorder="1"/>
    <xf numFmtId="0" fontId="186" fillId="0" borderId="0" xfId="0" applyFont="1" applyFill="1" applyBorder="1"/>
    <xf numFmtId="4" fontId="186" fillId="0" borderId="0" xfId="0" applyNumberFormat="1" applyFont="1"/>
    <xf numFmtId="165" fontId="186" fillId="0" borderId="0" xfId="0" applyNumberFormat="1" applyFont="1"/>
    <xf numFmtId="9" fontId="186" fillId="0" borderId="0" xfId="11179" applyFont="1" applyBorder="1"/>
    <xf numFmtId="173" fontId="0" fillId="0" borderId="0" xfId="11177" applyNumberFormat="1" applyFont="1" applyFill="1"/>
    <xf numFmtId="174" fontId="0" fillId="0" borderId="0" xfId="0" applyNumberFormat="1"/>
    <xf numFmtId="174" fontId="0" fillId="0" borderId="0" xfId="0" applyNumberFormat="1" applyFill="1"/>
    <xf numFmtId="174" fontId="0" fillId="0" borderId="0" xfId="0" applyNumberFormat="1" applyFill="1" applyBorder="1"/>
    <xf numFmtId="174" fontId="0" fillId="0" borderId="8" xfId="0" applyNumberFormat="1" applyBorder="1"/>
    <xf numFmtId="174" fontId="193" fillId="0" borderId="7" xfId="0" applyNumberFormat="1" applyFont="1" applyBorder="1" applyAlignment="1">
      <alignment horizontal="right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Alignment="1" applyProtection="1">
      <alignment vertical="center"/>
      <protection locked="0"/>
    </xf>
    <xf numFmtId="0" fontId="200" fillId="0" borderId="0" xfId="0" applyFont="1" applyFill="1" applyBorder="1" applyAlignment="1" applyProtection="1">
      <alignment horizontal="left" vertical="center" wrapText="1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3" fillId="0" borderId="0" xfId="0" applyFont="1" applyFill="1" applyAlignment="1" applyProtection="1">
      <alignment vertical="center"/>
      <protection locked="0"/>
    </xf>
    <xf numFmtId="0" fontId="204" fillId="0" borderId="13" xfId="0" applyFont="1" applyFill="1" applyBorder="1" applyAlignment="1" applyProtection="1">
      <alignment horizontal="left" vertical="center" wrapText="1"/>
      <protection locked="0"/>
    </xf>
    <xf numFmtId="0" fontId="201" fillId="0" borderId="13" xfId="0" applyFont="1" applyFill="1" applyBorder="1" applyAlignment="1" applyProtection="1">
      <alignment horizontal="left" vertical="center" wrapText="1"/>
      <protection locked="0"/>
    </xf>
    <xf numFmtId="4" fontId="202" fillId="0" borderId="39" xfId="0" applyNumberFormat="1" applyFont="1" applyFill="1" applyBorder="1" applyAlignment="1" applyProtection="1">
      <alignment horizontal="center" vertical="center"/>
      <protection locked="0"/>
    </xf>
    <xf numFmtId="0" fontId="203" fillId="0" borderId="0" xfId="0" applyFont="1" applyFill="1" applyAlignment="1" applyProtection="1">
      <alignment horizontal="left" vertical="center"/>
      <protection locked="0"/>
    </xf>
    <xf numFmtId="0" fontId="203" fillId="0" borderId="0" xfId="798" applyFont="1" applyFill="1" applyAlignment="1" applyProtection="1">
      <alignment horizontal="left" vertical="center"/>
      <protection locked="0"/>
    </xf>
    <xf numFmtId="174" fontId="203" fillId="0" borderId="0" xfId="11177" applyNumberFormat="1" applyFont="1" applyFill="1" applyAlignment="1" applyProtection="1">
      <alignment horizontal="right" vertical="center"/>
      <protection locked="0"/>
    </xf>
    <xf numFmtId="0" fontId="203" fillId="0" borderId="0" xfId="798" applyFont="1" applyAlignment="1" applyProtection="1">
      <alignment horizontal="left" vertical="center"/>
      <protection locked="0"/>
    </xf>
    <xf numFmtId="4" fontId="203" fillId="0" borderId="0" xfId="0" applyNumberFormat="1" applyFont="1" applyFill="1" applyAlignment="1" applyProtection="1">
      <alignment vertical="center"/>
      <protection locked="0"/>
    </xf>
    <xf numFmtId="0" fontId="203" fillId="0" borderId="0" xfId="0" applyFont="1" applyFill="1" applyBorder="1" applyAlignment="1" applyProtection="1">
      <alignment horizontal="left" vertical="center"/>
      <protection locked="0"/>
    </xf>
    <xf numFmtId="0" fontId="203" fillId="0" borderId="0" xfId="798" applyFont="1" applyFill="1" applyBorder="1" applyAlignment="1" applyProtection="1">
      <alignment horizontal="left" vertical="center"/>
      <protection locked="0"/>
    </xf>
    <xf numFmtId="174" fontId="203" fillId="0" borderId="0" xfId="11177" applyNumberFormat="1" applyFont="1" applyFill="1" applyBorder="1" applyAlignment="1" applyProtection="1">
      <alignment horizontal="right" vertical="center"/>
      <protection locked="0"/>
    </xf>
    <xf numFmtId="0" fontId="203" fillId="0" borderId="13" xfId="0" applyFont="1" applyFill="1" applyBorder="1" applyAlignment="1" applyProtection="1">
      <alignment horizontal="left" vertical="center"/>
      <protection locked="0"/>
    </xf>
    <xf numFmtId="0" fontId="203" fillId="0" borderId="13" xfId="798" applyFont="1" applyFill="1" applyBorder="1" applyAlignment="1" applyProtection="1">
      <alignment horizontal="left" vertical="center"/>
      <protection locked="0"/>
    </xf>
    <xf numFmtId="174" fontId="203" fillId="0" borderId="13" xfId="11177" applyNumberFormat="1" applyFont="1" applyFill="1" applyBorder="1" applyAlignment="1" applyProtection="1">
      <alignment horizontal="right" vertical="center"/>
      <protection locked="0"/>
    </xf>
    <xf numFmtId="0" fontId="203" fillId="0" borderId="33" xfId="0" applyFont="1" applyFill="1" applyBorder="1" applyAlignment="1" applyProtection="1">
      <alignment horizontal="left" vertical="center"/>
      <protection locked="0"/>
    </xf>
    <xf numFmtId="0" fontId="203" fillId="0" borderId="33" xfId="798" applyFont="1" applyFill="1" applyBorder="1" applyAlignment="1" applyProtection="1">
      <alignment horizontal="left" vertical="center"/>
      <protection locked="0"/>
    </xf>
    <xf numFmtId="174" fontId="203" fillId="0" borderId="33" xfId="11177" applyNumberFormat="1" applyFont="1" applyFill="1" applyBorder="1" applyAlignment="1" applyProtection="1">
      <alignment horizontal="right" vertical="center"/>
      <protection locked="0"/>
    </xf>
    <xf numFmtId="174" fontId="203" fillId="0" borderId="0" xfId="0" applyNumberFormat="1" applyFont="1" applyFill="1" applyAlignment="1" applyProtection="1">
      <alignment vertical="center"/>
      <protection locked="0"/>
    </xf>
    <xf numFmtId="174" fontId="203" fillId="0" borderId="33" xfId="0" applyNumberFormat="1" applyFont="1" applyFill="1" applyBorder="1" applyAlignment="1" applyProtection="1">
      <alignment vertical="center"/>
      <protection locked="0"/>
    </xf>
    <xf numFmtId="174" fontId="203" fillId="0" borderId="0" xfId="0" applyNumberFormat="1" applyFont="1" applyFill="1" applyBorder="1" applyAlignment="1" applyProtection="1">
      <alignment vertical="center"/>
      <protection locked="0"/>
    </xf>
    <xf numFmtId="174" fontId="203" fillId="0" borderId="41" xfId="11177" applyNumberFormat="1" applyFont="1" applyFill="1" applyBorder="1" applyAlignment="1" applyProtection="1">
      <alignment vertical="center"/>
    </xf>
    <xf numFmtId="174" fontId="203" fillId="0" borderId="44" xfId="11177" applyNumberFormat="1" applyFont="1" applyFill="1" applyBorder="1" applyAlignment="1" applyProtection="1">
      <alignment vertical="center"/>
    </xf>
    <xf numFmtId="174" fontId="203" fillId="0" borderId="33" xfId="11177" applyNumberFormat="1" applyFont="1" applyFill="1" applyBorder="1" applyAlignment="1" applyProtection="1">
      <alignment vertical="center"/>
    </xf>
    <xf numFmtId="174" fontId="203" fillId="0" borderId="13" xfId="11177" applyNumberFormat="1" applyFont="1" applyFill="1" applyBorder="1" applyAlignment="1" applyProtection="1">
      <alignment vertical="center"/>
    </xf>
    <xf numFmtId="178" fontId="198" fillId="0" borderId="13" xfId="0" applyNumberFormat="1" applyFont="1" applyFill="1" applyBorder="1" applyAlignment="1" applyProtection="1">
      <alignment horizontal="center" vertical="center"/>
      <protection locked="0"/>
    </xf>
    <xf numFmtId="178" fontId="200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203" fillId="0" borderId="13" xfId="11177" applyNumberFormat="1" applyFont="1" applyBorder="1" applyAlignment="1" applyProtection="1">
      <alignment horizontal="right" vertical="center"/>
      <protection locked="0"/>
    </xf>
    <xf numFmtId="178" fontId="203" fillId="0" borderId="0" xfId="11177" applyNumberFormat="1" applyFont="1" applyAlignment="1" applyProtection="1">
      <alignment horizontal="right" vertical="center"/>
      <protection locked="0"/>
    </xf>
    <xf numFmtId="178" fontId="203" fillId="0" borderId="33" xfId="11177" applyNumberFormat="1" applyFont="1" applyFill="1" applyBorder="1" applyAlignment="1" applyProtection="1">
      <alignment horizontal="right" vertical="center"/>
      <protection locked="0"/>
    </xf>
    <xf numFmtId="178" fontId="203" fillId="0" borderId="13" xfId="11177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Protection="1">
      <protection locked="0"/>
    </xf>
    <xf numFmtId="178" fontId="203" fillId="0" borderId="0" xfId="11177" applyNumberFormat="1" applyFont="1" applyFill="1" applyAlignment="1" applyProtection="1">
      <alignment horizontal="right" vertical="center"/>
      <protection locked="0"/>
    </xf>
    <xf numFmtId="178" fontId="203" fillId="0" borderId="0" xfId="0" applyNumberFormat="1" applyFont="1" applyFill="1" applyAlignment="1" applyProtection="1">
      <alignment vertical="center"/>
      <protection locked="0"/>
    </xf>
    <xf numFmtId="178" fontId="203" fillId="0" borderId="0" xfId="11177" applyNumberFormat="1" applyFont="1" applyAlignment="1" applyProtection="1">
      <alignment horizontal="right" vertical="center"/>
    </xf>
    <xf numFmtId="178" fontId="203" fillId="0" borderId="13" xfId="11177" applyNumberFormat="1" applyFont="1" applyBorder="1" applyAlignment="1" applyProtection="1">
      <alignment horizontal="right" vertical="center"/>
    </xf>
    <xf numFmtId="178" fontId="0" fillId="0" borderId="0" xfId="0" applyNumberFormat="1" applyProtection="1"/>
    <xf numFmtId="174" fontId="203" fillId="0" borderId="37" xfId="11177" applyNumberFormat="1" applyFont="1" applyFill="1" applyBorder="1" applyAlignment="1" applyProtection="1">
      <alignment horizontal="right" vertical="center"/>
      <protection locked="0"/>
    </xf>
    <xf numFmtId="174" fontId="203" fillId="0" borderId="28" xfId="11177" applyNumberFormat="1" applyFont="1" applyFill="1" applyBorder="1" applyAlignment="1" applyProtection="1">
      <alignment vertical="center"/>
    </xf>
    <xf numFmtId="178" fontId="198" fillId="0" borderId="30" xfId="0" applyNumberFormat="1" applyFont="1" applyFill="1" applyBorder="1" applyAlignment="1" applyProtection="1">
      <alignment vertical="center"/>
      <protection locked="0"/>
    </xf>
    <xf numFmtId="178" fontId="198" fillId="0" borderId="0" xfId="0" applyNumberFormat="1" applyFont="1" applyFill="1" applyBorder="1" applyAlignment="1" applyProtection="1">
      <alignment vertical="center"/>
      <protection locked="0"/>
    </xf>
    <xf numFmtId="178" fontId="205" fillId="38" borderId="40" xfId="0" applyNumberFormat="1" applyFont="1" applyFill="1" applyBorder="1" applyAlignment="1" applyProtection="1">
      <alignment vertical="center"/>
      <protection locked="0"/>
    </xf>
    <xf numFmtId="178" fontId="205" fillId="38" borderId="34" xfId="0" applyNumberFormat="1" applyFont="1" applyFill="1" applyBorder="1" applyAlignment="1" applyProtection="1">
      <alignment vertical="center"/>
      <protection locked="0"/>
    </xf>
    <xf numFmtId="178" fontId="205" fillId="38" borderId="35" xfId="0" applyNumberFormat="1" applyFont="1" applyFill="1" applyBorder="1" applyAlignment="1" applyProtection="1">
      <alignment vertical="center"/>
      <protection locked="0"/>
    </xf>
    <xf numFmtId="178" fontId="206" fillId="38" borderId="27" xfId="11177" applyNumberFormat="1" applyFont="1" applyFill="1" applyBorder="1" applyAlignment="1" applyProtection="1">
      <alignment vertical="center"/>
      <protection locked="0"/>
    </xf>
    <xf numFmtId="178" fontId="206" fillId="38" borderId="42" xfId="11177" applyNumberFormat="1" applyFont="1" applyFill="1" applyBorder="1" applyAlignment="1" applyProtection="1">
      <alignment vertical="center"/>
      <protection locked="0"/>
    </xf>
    <xf numFmtId="178" fontId="206" fillId="38" borderId="29" xfId="11177" applyNumberFormat="1" applyFont="1" applyFill="1" applyBorder="1" applyAlignment="1" applyProtection="1">
      <alignment vertical="center"/>
      <protection locked="0"/>
    </xf>
    <xf numFmtId="178" fontId="206" fillId="38" borderId="43" xfId="11177" applyNumberFormat="1" applyFont="1" applyFill="1" applyBorder="1" applyAlignment="1" applyProtection="1">
      <alignment vertical="center"/>
      <protection locked="0"/>
    </xf>
    <xf numFmtId="178" fontId="206" fillId="38" borderId="30" xfId="11177" applyNumberFormat="1" applyFont="1" applyFill="1" applyBorder="1" applyAlignment="1" applyProtection="1">
      <alignment vertical="center"/>
      <protection locked="0"/>
    </xf>
    <xf numFmtId="178" fontId="206" fillId="38" borderId="31" xfId="11177" applyNumberFormat="1" applyFont="1" applyFill="1" applyBorder="1" applyAlignment="1" applyProtection="1">
      <alignment vertical="center"/>
      <protection locked="0"/>
    </xf>
    <xf numFmtId="178" fontId="206" fillId="38" borderId="32" xfId="11177" applyNumberFormat="1" applyFont="1" applyFill="1" applyBorder="1" applyAlignment="1" applyProtection="1">
      <alignment vertical="center"/>
      <protection locked="0"/>
    </xf>
    <xf numFmtId="178" fontId="206" fillId="38" borderId="45" xfId="11177" applyNumberFormat="1" applyFont="1" applyFill="1" applyBorder="1" applyAlignment="1" applyProtection="1">
      <alignment vertical="center"/>
      <protection locked="0"/>
    </xf>
    <xf numFmtId="178" fontId="206" fillId="0" borderId="33" xfId="11177" applyNumberFormat="1" applyFont="1" applyFill="1" applyBorder="1" applyAlignment="1" applyProtection="1">
      <alignment vertical="center"/>
      <protection locked="0"/>
    </xf>
    <xf numFmtId="178" fontId="206" fillId="0" borderId="13" xfId="11177" applyNumberFormat="1" applyFont="1" applyFill="1" applyBorder="1" applyAlignment="1" applyProtection="1">
      <alignment vertical="center"/>
      <protection locked="0"/>
    </xf>
    <xf numFmtId="178" fontId="203" fillId="0" borderId="33" xfId="0" applyNumberFormat="1" applyFont="1" applyFill="1" applyBorder="1" applyAlignment="1" applyProtection="1">
      <alignment vertical="center"/>
      <protection locked="0"/>
    </xf>
    <xf numFmtId="178" fontId="203" fillId="0" borderId="0" xfId="0" applyNumberFormat="1" applyFont="1" applyFill="1" applyBorder="1" applyAlignment="1" applyProtection="1">
      <alignment vertical="center"/>
      <protection locked="0"/>
    </xf>
    <xf numFmtId="178" fontId="203" fillId="0" borderId="28" xfId="0" applyNumberFormat="1" applyFont="1" applyFill="1" applyBorder="1" applyAlignment="1" applyProtection="1">
      <alignment vertical="center"/>
      <protection locked="0"/>
    </xf>
    <xf numFmtId="178" fontId="203" fillId="0" borderId="30" xfId="0" applyNumberFormat="1" applyFont="1" applyFill="1" applyBorder="1" applyAlignment="1" applyProtection="1">
      <alignment vertical="center"/>
      <protection locked="0"/>
    </xf>
    <xf numFmtId="178" fontId="203" fillId="0" borderId="0" xfId="11177" applyNumberFormat="1" applyFont="1" applyFill="1" applyAlignment="1" applyProtection="1">
      <alignment horizontal="right" vertical="center"/>
    </xf>
    <xf numFmtId="178" fontId="0" fillId="0" borderId="0" xfId="0" applyNumberFormat="1" applyFill="1" applyProtection="1">
      <protection locked="0"/>
    </xf>
    <xf numFmtId="178" fontId="0" fillId="0" borderId="0" xfId="0" applyNumberFormat="1" applyFill="1" applyProtection="1"/>
    <xf numFmtId="178" fontId="153" fillId="0" borderId="0" xfId="0" applyNumberFormat="1" applyFont="1" applyProtection="1">
      <protection locked="0"/>
    </xf>
    <xf numFmtId="178" fontId="153" fillId="0" borderId="0" xfId="0" applyNumberFormat="1" applyFont="1" applyProtection="1"/>
    <xf numFmtId="178" fontId="153" fillId="0" borderId="13" xfId="0" applyNumberFormat="1" applyFont="1" applyBorder="1" applyProtection="1">
      <protection locked="0"/>
    </xf>
    <xf numFmtId="178" fontId="153" fillId="0" borderId="13" xfId="0" applyNumberFormat="1" applyFont="1" applyBorder="1" applyProtection="1"/>
    <xf numFmtId="174" fontId="0" fillId="38" borderId="3" xfId="0" applyNumberFormat="1" applyFill="1" applyBorder="1"/>
    <xf numFmtId="174" fontId="0" fillId="38" borderId="4" xfId="0" applyNumberFormat="1" applyFill="1" applyBorder="1"/>
    <xf numFmtId="174" fontId="153" fillId="38" borderId="3" xfId="0" applyNumberFormat="1" applyFont="1" applyFill="1" applyBorder="1"/>
    <xf numFmtId="174" fontId="153" fillId="38" borderId="4" xfId="0" applyNumberFormat="1" applyFont="1" applyFill="1" applyBorder="1"/>
    <xf numFmtId="174" fontId="0" fillId="38" borderId="5" xfId="0" applyNumberFormat="1" applyFill="1" applyBorder="1"/>
    <xf numFmtId="174" fontId="0" fillId="38" borderId="6" xfId="0" applyNumberFormat="1" applyFill="1" applyBorder="1"/>
    <xf numFmtId="174" fontId="208" fillId="38" borderId="4" xfId="0" applyNumberFormat="1" applyFont="1" applyFill="1" applyBorder="1"/>
    <xf numFmtId="174" fontId="193" fillId="38" borderId="7" xfId="0" applyNumberFormat="1" applyFont="1" applyFill="1" applyBorder="1" applyAlignment="1">
      <alignment horizontal="right"/>
    </xf>
    <xf numFmtId="174" fontId="0" fillId="38" borderId="8" xfId="0" applyNumberFormat="1" applyFill="1" applyBorder="1"/>
    <xf numFmtId="1" fontId="186" fillId="0" borderId="0" xfId="0" applyNumberFormat="1" applyFont="1" applyBorder="1"/>
    <xf numFmtId="0" fontId="186" fillId="0" borderId="37" xfId="0" applyFont="1" applyBorder="1"/>
    <xf numFmtId="1" fontId="186" fillId="0" borderId="0" xfId="0" applyNumberFormat="1" applyFont="1" applyFill="1" applyBorder="1" applyAlignment="1">
      <alignment vertical="center"/>
    </xf>
    <xf numFmtId="173" fontId="186" fillId="0" borderId="37" xfId="11177" applyNumberFormat="1" applyFont="1" applyFill="1" applyBorder="1" applyAlignment="1">
      <alignment vertical="center"/>
    </xf>
    <xf numFmtId="172" fontId="186" fillId="39" borderId="0" xfId="0" applyNumberFormat="1" applyFont="1" applyFill="1" applyBorder="1" applyAlignment="1">
      <alignment vertical="center"/>
    </xf>
    <xf numFmtId="165" fontId="187" fillId="0" borderId="0" xfId="0" applyNumberFormat="1" applyFont="1" applyBorder="1"/>
    <xf numFmtId="0" fontId="194" fillId="0" borderId="0" xfId="0" applyFont="1" applyBorder="1" applyAlignment="1">
      <alignment vertical="center" wrapText="1"/>
    </xf>
    <xf numFmtId="0" fontId="186" fillId="0" borderId="0" xfId="0" applyFont="1" applyBorder="1" applyAlignment="1">
      <alignment vertical="top"/>
    </xf>
    <xf numFmtId="165" fontId="186" fillId="0" borderId="0" xfId="0" applyNumberFormat="1" applyFont="1" applyBorder="1"/>
    <xf numFmtId="169" fontId="186" fillId="0" borderId="0" xfId="0" applyNumberFormat="1" applyFont="1" applyFill="1" applyBorder="1"/>
    <xf numFmtId="4" fontId="186" fillId="0" borderId="0" xfId="0" applyNumberFormat="1" applyFont="1" applyBorder="1"/>
    <xf numFmtId="0" fontId="186" fillId="0" borderId="0" xfId="0" applyNumberFormat="1" applyFont="1" applyBorder="1"/>
    <xf numFmtId="1" fontId="209" fillId="0" borderId="13" xfId="0" applyNumberFormat="1" applyFont="1" applyFill="1" applyBorder="1" applyAlignment="1">
      <alignment vertical="center"/>
    </xf>
    <xf numFmtId="0" fontId="209" fillId="0" borderId="0" xfId="0" applyFont="1" applyBorder="1"/>
    <xf numFmtId="0" fontId="209" fillId="0" borderId="0" xfId="0" applyFont="1"/>
    <xf numFmtId="169" fontId="187" fillId="40" borderId="0" xfId="0" applyNumberFormat="1" applyFont="1" applyFill="1" applyBorder="1"/>
    <xf numFmtId="169" fontId="186" fillId="39" borderId="0" xfId="0" applyNumberFormat="1" applyFont="1" applyFill="1" applyBorder="1"/>
    <xf numFmtId="172" fontId="207" fillId="39" borderId="0" xfId="0" applyNumberFormat="1" applyFont="1" applyFill="1" applyBorder="1" applyAlignment="1">
      <alignment vertical="center"/>
    </xf>
    <xf numFmtId="1" fontId="209" fillId="0" borderId="0" xfId="0" applyNumberFormat="1" applyFont="1" applyFill="1" applyBorder="1" applyAlignment="1">
      <alignment vertical="center"/>
    </xf>
    <xf numFmtId="165" fontId="197" fillId="0" borderId="0" xfId="0" applyNumberFormat="1" applyFont="1" applyFill="1" applyBorder="1"/>
    <xf numFmtId="0" fontId="187" fillId="44" borderId="0" xfId="0" applyFont="1" applyFill="1" applyBorder="1"/>
    <xf numFmtId="0" fontId="186" fillId="44" borderId="0" xfId="0" applyFont="1" applyFill="1" applyBorder="1"/>
    <xf numFmtId="1" fontId="186" fillId="44" borderId="0" xfId="0" applyNumberFormat="1" applyFont="1" applyFill="1" applyBorder="1"/>
    <xf numFmtId="0" fontId="209" fillId="44" borderId="0" xfId="0" applyFont="1" applyFill="1" applyBorder="1"/>
    <xf numFmtId="176" fontId="186" fillId="44" borderId="25" xfId="798" applyNumberFormat="1" applyFont="1" applyFill="1" applyBorder="1"/>
    <xf numFmtId="0" fontId="186" fillId="44" borderId="25" xfId="0" applyFont="1" applyFill="1" applyBorder="1"/>
    <xf numFmtId="176" fontId="191" fillId="44" borderId="25" xfId="798" applyNumberFormat="1" applyFont="1" applyFill="1" applyBorder="1"/>
    <xf numFmtId="170" fontId="186" fillId="42" borderId="25" xfId="798" applyNumberFormat="1" applyFont="1" applyFill="1" applyBorder="1"/>
    <xf numFmtId="176" fontId="186" fillId="42" borderId="25" xfId="798" applyNumberFormat="1" applyFont="1" applyFill="1" applyBorder="1"/>
    <xf numFmtId="0" fontId="185" fillId="44" borderId="0" xfId="0" applyFont="1" applyFill="1" applyBorder="1"/>
    <xf numFmtId="176" fontId="189" fillId="42" borderId="1" xfId="798" applyNumberFormat="1" applyFont="1" applyFill="1" applyBorder="1"/>
    <xf numFmtId="176" fontId="186" fillId="42" borderId="1" xfId="798" applyNumberFormat="1" applyFont="1" applyFill="1" applyBorder="1"/>
    <xf numFmtId="176" fontId="189" fillId="44" borderId="25" xfId="798" applyNumberFormat="1" applyFont="1" applyFill="1" applyBorder="1"/>
    <xf numFmtId="1" fontId="186" fillId="44" borderId="25" xfId="0" applyNumberFormat="1" applyFont="1" applyFill="1" applyBorder="1"/>
    <xf numFmtId="0" fontId="186" fillId="0" borderId="25" xfId="0" applyFont="1" applyBorder="1"/>
    <xf numFmtId="0" fontId="187" fillId="0" borderId="0" xfId="0" applyNumberFormat="1" applyFont="1" applyBorder="1"/>
    <xf numFmtId="179" fontId="186" fillId="0" borderId="0" xfId="0" applyNumberFormat="1" applyFont="1" applyBorder="1"/>
    <xf numFmtId="9" fontId="186" fillId="44" borderId="0" xfId="0" applyNumberFormat="1" applyFont="1" applyFill="1" applyBorder="1"/>
    <xf numFmtId="0" fontId="186" fillId="44" borderId="0" xfId="0" applyFont="1" applyFill="1" applyBorder="1" applyAlignment="1">
      <alignment vertical="top"/>
    </xf>
    <xf numFmtId="169" fontId="209" fillId="44" borderId="0" xfId="0" applyNumberFormat="1" applyFont="1" applyFill="1" applyBorder="1"/>
    <xf numFmtId="169" fontId="186" fillId="44" borderId="0" xfId="0" applyNumberFormat="1" applyFont="1" applyFill="1" applyBorder="1"/>
    <xf numFmtId="9" fontId="186" fillId="44" borderId="0" xfId="11179" applyFont="1" applyFill="1" applyBorder="1"/>
    <xf numFmtId="0" fontId="184" fillId="44" borderId="0" xfId="0" applyFont="1" applyFill="1" applyBorder="1"/>
    <xf numFmtId="0" fontId="196" fillId="44" borderId="0" xfId="0" applyFont="1" applyFill="1" applyBorder="1" applyAlignment="1">
      <alignment vertical="center" wrapText="1"/>
    </xf>
    <xf numFmtId="175" fontId="184" fillId="44" borderId="0" xfId="0" applyNumberFormat="1" applyFont="1" applyFill="1" applyBorder="1" applyAlignment="1">
      <alignment horizontal="left"/>
    </xf>
    <xf numFmtId="17" fontId="186" fillId="0" borderId="50" xfId="0" applyNumberFormat="1" applyFont="1" applyBorder="1" applyAlignment="1">
      <alignment horizontal="center" vertical="center"/>
    </xf>
    <xf numFmtId="173" fontId="209" fillId="0" borderId="37" xfId="11177" applyNumberFormat="1" applyFont="1" applyFill="1" applyBorder="1" applyAlignment="1">
      <alignment vertical="center"/>
    </xf>
    <xf numFmtId="173" fontId="188" fillId="37" borderId="37" xfId="11177" applyNumberFormat="1" applyFont="1" applyFill="1" applyBorder="1"/>
    <xf numFmtId="173" fontId="186" fillId="37" borderId="37" xfId="11177" applyNumberFormat="1" applyFont="1" applyFill="1" applyBorder="1" applyAlignment="1">
      <alignment vertical="center"/>
    </xf>
    <xf numFmtId="173" fontId="207" fillId="37" borderId="37" xfId="11177" applyNumberFormat="1" applyFont="1" applyFill="1" applyBorder="1" applyAlignment="1">
      <alignment vertical="center"/>
    </xf>
    <xf numFmtId="172" fontId="186" fillId="37" borderId="37" xfId="11177" applyNumberFormat="1" applyFont="1" applyFill="1" applyBorder="1" applyAlignment="1">
      <alignment vertical="center"/>
    </xf>
    <xf numFmtId="173" fontId="209" fillId="0" borderId="46" xfId="11177" applyNumberFormat="1" applyFont="1" applyFill="1" applyBorder="1" applyAlignment="1">
      <alignment vertical="center"/>
    </xf>
    <xf numFmtId="0" fontId="187" fillId="42" borderId="36" xfId="0" applyFont="1" applyFill="1" applyBorder="1"/>
    <xf numFmtId="177" fontId="186" fillId="42" borderId="59" xfId="0" applyNumberFormat="1" applyFont="1" applyFill="1" applyBorder="1" applyAlignment="1">
      <alignment vertical="center"/>
    </xf>
    <xf numFmtId="0" fontId="186" fillId="44" borderId="36" xfId="0" applyNumberFormat="1" applyFont="1" applyFill="1" applyBorder="1"/>
    <xf numFmtId="177" fontId="186" fillId="44" borderId="59" xfId="0" applyNumberFormat="1" applyFont="1" applyFill="1" applyBorder="1" applyAlignment="1">
      <alignment vertical="center"/>
    </xf>
    <xf numFmtId="0" fontId="207" fillId="44" borderId="36" xfId="0" applyFont="1" applyFill="1" applyBorder="1"/>
    <xf numFmtId="0" fontId="186" fillId="44" borderId="36" xfId="0" applyFont="1" applyFill="1" applyBorder="1"/>
    <xf numFmtId="0" fontId="187" fillId="44" borderId="36" xfId="0" applyFont="1" applyFill="1" applyBorder="1"/>
    <xf numFmtId="0" fontId="185" fillId="42" borderId="36" xfId="0" applyFont="1" applyFill="1" applyBorder="1"/>
    <xf numFmtId="173" fontId="186" fillId="42" borderId="59" xfId="11177" applyNumberFormat="1" applyFont="1" applyFill="1" applyBorder="1" applyAlignment="1">
      <alignment vertical="center"/>
    </xf>
    <xf numFmtId="173" fontId="186" fillId="44" borderId="59" xfId="11177" applyNumberFormat="1" applyFont="1" applyFill="1" applyBorder="1" applyAlignment="1">
      <alignment vertical="center"/>
    </xf>
    <xf numFmtId="0" fontId="186" fillId="44" borderId="59" xfId="0" applyFont="1" applyFill="1" applyBorder="1"/>
    <xf numFmtId="170" fontId="186" fillId="44" borderId="59" xfId="0" applyNumberFormat="1" applyFont="1" applyFill="1" applyBorder="1"/>
    <xf numFmtId="0" fontId="186" fillId="42" borderId="56" xfId="0" applyFont="1" applyFill="1" applyBorder="1"/>
    <xf numFmtId="0" fontId="186" fillId="44" borderId="56" xfId="0" applyFont="1" applyFill="1" applyBorder="1"/>
    <xf numFmtId="0" fontId="186" fillId="0" borderId="56" xfId="0" applyFont="1" applyFill="1" applyBorder="1"/>
    <xf numFmtId="176" fontId="186" fillId="0" borderId="56" xfId="798" applyNumberFormat="1" applyFont="1" applyFill="1" applyBorder="1"/>
    <xf numFmtId="0" fontId="187" fillId="42" borderId="56" xfId="0" applyFont="1" applyFill="1" applyBorder="1"/>
    <xf numFmtId="0" fontId="186" fillId="0" borderId="56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170" fontId="187" fillId="44" borderId="6" xfId="798" applyNumberFormat="1" applyFont="1" applyFill="1" applyBorder="1"/>
    <xf numFmtId="170" fontId="190" fillId="44" borderId="6" xfId="798" applyNumberFormat="1" applyFont="1" applyFill="1" applyBorder="1"/>
    <xf numFmtId="170" fontId="187" fillId="42" borderId="6" xfId="798" applyNumberFormat="1" applyFont="1" applyFill="1" applyBorder="1"/>
    <xf numFmtId="0" fontId="188" fillId="42" borderId="6" xfId="798" applyFont="1" applyFill="1" applyBorder="1"/>
    <xf numFmtId="0" fontId="188" fillId="44" borderId="6" xfId="798" applyFont="1" applyFill="1" applyBorder="1"/>
    <xf numFmtId="170" fontId="188" fillId="44" borderId="6" xfId="798" applyNumberFormat="1" applyFont="1" applyFill="1" applyBorder="1"/>
    <xf numFmtId="0" fontId="187" fillId="44" borderId="6" xfId="0" applyFont="1" applyFill="1" applyBorder="1"/>
    <xf numFmtId="0" fontId="186" fillId="0" borderId="6" xfId="0" applyFont="1" applyBorder="1"/>
    <xf numFmtId="170" fontId="188" fillId="0" borderId="6" xfId="798" applyNumberFormat="1" applyFont="1" applyFill="1" applyBorder="1"/>
    <xf numFmtId="0" fontId="186" fillId="0" borderId="64" xfId="0" applyFont="1" applyBorder="1" applyAlignment="1">
      <alignment vertical="top"/>
    </xf>
    <xf numFmtId="0" fontId="187" fillId="42" borderId="65" xfId="0" applyFont="1" applyFill="1" applyBorder="1"/>
    <xf numFmtId="0" fontId="186" fillId="44" borderId="65" xfId="0" applyNumberFormat="1" applyFont="1" applyFill="1" applyBorder="1"/>
    <xf numFmtId="0" fontId="207" fillId="44" borderId="65" xfId="0" applyFont="1" applyFill="1" applyBorder="1"/>
    <xf numFmtId="0" fontId="186" fillId="44" borderId="65" xfId="0" applyFont="1" applyFill="1" applyBorder="1"/>
    <xf numFmtId="0" fontId="186" fillId="42" borderId="65" xfId="0" applyFont="1" applyFill="1" applyBorder="1"/>
    <xf numFmtId="0" fontId="187" fillId="44" borderId="65" xfId="0" applyFont="1" applyFill="1" applyBorder="1"/>
    <xf numFmtId="0" fontId="186" fillId="0" borderId="65" xfId="0" applyFont="1" applyBorder="1"/>
    <xf numFmtId="0" fontId="188" fillId="44" borderId="68" xfId="0" applyFont="1" applyFill="1" applyBorder="1" applyAlignment="1">
      <alignment horizontal="center" vertical="top" wrapText="1"/>
    </xf>
    <xf numFmtId="165" fontId="188" fillId="39" borderId="13" xfId="0" applyNumberFormat="1" applyFont="1" applyFill="1" applyBorder="1" applyAlignment="1">
      <alignment horizontal="center" vertical="top" wrapText="1"/>
    </xf>
    <xf numFmtId="0" fontId="188" fillId="37" borderId="46" xfId="0" applyFont="1" applyFill="1" applyBorder="1" applyAlignment="1">
      <alignment horizontal="center" vertical="top" wrapText="1"/>
    </xf>
    <xf numFmtId="177" fontId="187" fillId="40" borderId="34" xfId="0" applyNumberFormat="1" applyFont="1" applyFill="1" applyBorder="1" applyAlignment="1">
      <alignment vertical="center"/>
    </xf>
    <xf numFmtId="177" fontId="187" fillId="40" borderId="35" xfId="0" applyNumberFormat="1" applyFont="1" applyFill="1" applyBorder="1" applyAlignment="1">
      <alignment vertical="center"/>
    </xf>
    <xf numFmtId="177" fontId="187" fillId="40" borderId="26" xfId="0" applyNumberFormat="1" applyFont="1" applyFill="1" applyBorder="1" applyAlignment="1">
      <alignment vertical="center"/>
    </xf>
    <xf numFmtId="172" fontId="186" fillId="37" borderId="0" xfId="11177" applyNumberFormat="1" applyFont="1" applyFill="1" applyBorder="1" applyAlignment="1">
      <alignment vertical="center"/>
    </xf>
    <xf numFmtId="177" fontId="186" fillId="42" borderId="72" xfId="0" applyNumberFormat="1" applyFont="1" applyFill="1" applyBorder="1" applyAlignment="1">
      <alignment vertical="center"/>
    </xf>
    <xf numFmtId="169" fontId="210" fillId="40" borderId="26" xfId="0" applyNumberFormat="1" applyFont="1" applyFill="1" applyBorder="1"/>
    <xf numFmtId="177" fontId="186" fillId="42" borderId="67" xfId="0" applyNumberFormat="1" applyFont="1" applyFill="1" applyBorder="1" applyAlignment="1">
      <alignment vertical="center"/>
    </xf>
    <xf numFmtId="1" fontId="209" fillId="0" borderId="34" xfId="0" applyNumberFormat="1" applyFont="1" applyFill="1" applyBorder="1" applyAlignment="1">
      <alignment vertical="center"/>
    </xf>
    <xf numFmtId="173" fontId="209" fillId="0" borderId="35" xfId="11177" applyNumberFormat="1" applyFont="1" applyFill="1" applyBorder="1" applyAlignment="1">
      <alignment vertical="center"/>
    </xf>
    <xf numFmtId="170" fontId="187" fillId="42" borderId="15" xfId="798" applyNumberFormat="1" applyFont="1" applyFill="1" applyBorder="1"/>
    <xf numFmtId="170" fontId="186" fillId="42" borderId="2" xfId="798" applyNumberFormat="1" applyFont="1" applyFill="1" applyBorder="1"/>
    <xf numFmtId="0" fontId="186" fillId="42" borderId="71" xfId="0" applyFont="1" applyFill="1" applyBorder="1"/>
    <xf numFmtId="177" fontId="209" fillId="0" borderId="0" xfId="0" applyNumberFormat="1" applyFont="1" applyBorder="1"/>
    <xf numFmtId="177" fontId="187" fillId="44" borderId="0" xfId="0" applyNumberFormat="1" applyFont="1" applyFill="1" applyBorder="1" applyAlignment="1">
      <alignment vertical="center"/>
    </xf>
    <xf numFmtId="177" fontId="187" fillId="44" borderId="13" xfId="0" applyNumberFormat="1" applyFont="1" applyFill="1" applyBorder="1" applyAlignment="1">
      <alignment vertical="center"/>
    </xf>
    <xf numFmtId="0" fontId="186" fillId="44" borderId="46" xfId="0" applyFont="1" applyFill="1" applyBorder="1" applyAlignment="1">
      <alignment vertical="top"/>
    </xf>
    <xf numFmtId="177" fontId="186" fillId="46" borderId="37" xfId="0" applyNumberFormat="1" applyFont="1" applyFill="1" applyBorder="1" applyAlignment="1">
      <alignment vertical="center"/>
    </xf>
    <xf numFmtId="177" fontId="186" fillId="46" borderId="35" xfId="0" applyNumberFormat="1" applyFont="1" applyFill="1" applyBorder="1" applyAlignment="1">
      <alignment vertical="center"/>
    </xf>
    <xf numFmtId="169" fontId="210" fillId="44" borderId="26" xfId="0" applyNumberFormat="1" applyFont="1" applyFill="1" applyBorder="1"/>
    <xf numFmtId="177" fontId="186" fillId="44" borderId="34" xfId="0" applyNumberFormat="1" applyFont="1" applyFill="1" applyBorder="1" applyAlignment="1">
      <alignment vertical="center"/>
    </xf>
    <xf numFmtId="177" fontId="186" fillId="44" borderId="35" xfId="0" applyNumberFormat="1" applyFont="1" applyFill="1" applyBorder="1" applyAlignment="1">
      <alignment vertical="center"/>
    </xf>
    <xf numFmtId="170" fontId="187" fillId="42" borderId="8" xfId="798" applyNumberFormat="1" applyFont="1" applyFill="1" applyBorder="1"/>
    <xf numFmtId="176" fontId="186" fillId="42" borderId="50" xfId="798" applyNumberFormat="1" applyFont="1" applyFill="1" applyBorder="1"/>
    <xf numFmtId="0" fontId="186" fillId="42" borderId="62" xfId="0" applyFont="1" applyFill="1" applyBorder="1"/>
    <xf numFmtId="177" fontId="186" fillId="40" borderId="34" xfId="0" applyNumberFormat="1" applyFont="1" applyFill="1" applyBorder="1" applyAlignment="1">
      <alignment vertical="center"/>
    </xf>
    <xf numFmtId="169" fontId="210" fillId="40" borderId="34" xfId="0" applyNumberFormat="1" applyFont="1" applyFill="1" applyBorder="1"/>
    <xf numFmtId="177" fontId="186" fillId="40" borderId="35" xfId="0" applyNumberFormat="1" applyFont="1" applyFill="1" applyBorder="1" applyAlignment="1">
      <alignment vertical="center"/>
    </xf>
    <xf numFmtId="177" fontId="187" fillId="44" borderId="34" xfId="0" applyNumberFormat="1" applyFont="1" applyFill="1" applyBorder="1" applyAlignment="1">
      <alignment vertical="center"/>
    </xf>
    <xf numFmtId="169" fontId="210" fillId="44" borderId="34" xfId="0" applyNumberFormat="1" applyFont="1" applyFill="1" applyBorder="1"/>
    <xf numFmtId="170" fontId="188" fillId="42" borderId="6" xfId="798" applyNumberFormat="1" applyFont="1" applyFill="1" applyBorder="1"/>
    <xf numFmtId="170" fontId="188" fillId="42" borderId="15" xfId="798" applyNumberFormat="1" applyFont="1" applyFill="1" applyBorder="1"/>
    <xf numFmtId="0" fontId="186" fillId="44" borderId="71" xfId="0" applyFont="1" applyFill="1" applyBorder="1"/>
    <xf numFmtId="0" fontId="188" fillId="42" borderId="8" xfId="798" applyFont="1" applyFill="1" applyBorder="1"/>
    <xf numFmtId="0" fontId="187" fillId="42" borderId="62" xfId="0" applyFont="1" applyFill="1" applyBorder="1"/>
    <xf numFmtId="0" fontId="187" fillId="42" borderId="47" xfId="0" applyFont="1" applyFill="1" applyBorder="1"/>
    <xf numFmtId="0" fontId="186" fillId="42" borderId="66" xfId="0" applyFont="1" applyFill="1" applyBorder="1"/>
    <xf numFmtId="170" fontId="187" fillId="42" borderId="63" xfId="798" applyNumberFormat="1" applyFont="1" applyFill="1" applyBorder="1"/>
    <xf numFmtId="0" fontId="186" fillId="42" borderId="58" xfId="0" applyFont="1" applyFill="1" applyBorder="1"/>
    <xf numFmtId="0" fontId="187" fillId="42" borderId="37" xfId="0" applyFont="1" applyFill="1" applyBorder="1"/>
    <xf numFmtId="169" fontId="186" fillId="44" borderId="37" xfId="0" applyNumberFormat="1" applyFont="1" applyFill="1" applyBorder="1"/>
    <xf numFmtId="177" fontId="186" fillId="46" borderId="61" xfId="0" applyNumberFormat="1" applyFont="1" applyFill="1" applyBorder="1" applyAlignment="1">
      <alignment vertical="center"/>
    </xf>
    <xf numFmtId="0" fontId="187" fillId="42" borderId="8" xfId="0" applyFont="1" applyFill="1" applyBorder="1"/>
    <xf numFmtId="0" fontId="186" fillId="42" borderId="50" xfId="0" applyFont="1" applyFill="1" applyBorder="1"/>
    <xf numFmtId="1" fontId="186" fillId="42" borderId="50" xfId="0" applyNumberFormat="1" applyFont="1" applyFill="1" applyBorder="1"/>
    <xf numFmtId="169" fontId="187" fillId="50" borderId="26" xfId="0" applyNumberFormat="1" applyFont="1" applyFill="1" applyBorder="1"/>
    <xf numFmtId="180" fontId="211" fillId="44" borderId="0" xfId="0" applyNumberFormat="1" applyFont="1" applyFill="1" applyBorder="1" applyAlignment="1">
      <alignment horizontal="center"/>
    </xf>
    <xf numFmtId="180" fontId="188" fillId="47" borderId="52" xfId="0" applyNumberFormat="1" applyFont="1" applyFill="1" applyBorder="1" applyAlignment="1">
      <alignment horizontal="center" vertical="top" wrapText="1"/>
    </xf>
    <xf numFmtId="180" fontId="188" fillId="48" borderId="1" xfId="0" applyNumberFormat="1" applyFont="1" applyFill="1" applyBorder="1" applyAlignment="1">
      <alignment horizontal="center" vertical="top" wrapText="1"/>
    </xf>
    <xf numFmtId="180" fontId="188" fillId="38" borderId="51" xfId="0" applyNumberFormat="1" applyFont="1" applyFill="1" applyBorder="1" applyAlignment="1">
      <alignment horizontal="center" vertical="top" wrapText="1"/>
    </xf>
    <xf numFmtId="180" fontId="188" fillId="45" borderId="1" xfId="0" applyNumberFormat="1" applyFont="1" applyFill="1" applyBorder="1" applyAlignment="1">
      <alignment horizontal="center" vertical="top" wrapText="1"/>
    </xf>
    <xf numFmtId="180" fontId="187" fillId="50" borderId="34" xfId="0" applyNumberFormat="1" applyFont="1" applyFill="1" applyBorder="1" applyAlignment="1">
      <alignment horizontal="center" vertical="center"/>
    </xf>
    <xf numFmtId="180" fontId="212" fillId="0" borderId="0" xfId="0" applyNumberFormat="1" applyFont="1" applyFill="1" applyBorder="1" applyAlignment="1">
      <alignment horizontal="center"/>
    </xf>
    <xf numFmtId="180" fontId="187" fillId="0" borderId="0" xfId="0" applyNumberFormat="1" applyFont="1" applyFill="1" applyBorder="1" applyAlignment="1">
      <alignment horizontal="center"/>
    </xf>
    <xf numFmtId="180" fontId="186" fillId="44" borderId="0" xfId="0" applyNumberFormat="1" applyFont="1" applyFill="1" applyBorder="1" applyAlignment="1">
      <alignment horizontal="center"/>
    </xf>
    <xf numFmtId="180" fontId="186" fillId="42" borderId="55" xfId="0" applyNumberFormat="1" applyFont="1" applyFill="1" applyBorder="1" applyAlignment="1">
      <alignment horizontal="center" vertical="center"/>
    </xf>
    <xf numFmtId="180" fontId="186" fillId="42" borderId="25" xfId="0" applyNumberFormat="1" applyFont="1" applyFill="1" applyBorder="1" applyAlignment="1">
      <alignment horizontal="center" vertical="center"/>
    </xf>
    <xf numFmtId="180" fontId="186" fillId="42" borderId="56" xfId="0" applyNumberFormat="1" applyFont="1" applyFill="1" applyBorder="1" applyAlignment="1">
      <alignment horizontal="center" vertical="center"/>
    </xf>
    <xf numFmtId="180" fontId="186" fillId="43" borderId="25" xfId="0" applyNumberFormat="1" applyFont="1" applyFill="1" applyBorder="1" applyAlignment="1">
      <alignment horizontal="center" vertical="center"/>
    </xf>
    <xf numFmtId="180" fontId="186" fillId="47" borderId="55" xfId="0" applyNumberFormat="1" applyFont="1" applyFill="1" applyBorder="1" applyAlignment="1">
      <alignment horizontal="center" vertical="center"/>
    </xf>
    <xf numFmtId="180" fontId="186" fillId="49" borderId="25" xfId="0" applyNumberFormat="1" applyFont="1" applyFill="1" applyBorder="1" applyAlignment="1">
      <alignment horizontal="center" vertical="center"/>
    </xf>
    <xf numFmtId="180" fontId="186" fillId="38" borderId="56" xfId="0" applyNumberFormat="1" applyFont="1" applyFill="1" applyBorder="1" applyAlignment="1">
      <alignment horizontal="center" vertical="center"/>
    </xf>
    <xf numFmtId="180" fontId="186" fillId="45" borderId="25" xfId="0" applyNumberFormat="1" applyFont="1" applyFill="1" applyBorder="1" applyAlignment="1">
      <alignment horizontal="center" vertical="center"/>
    </xf>
    <xf numFmtId="180" fontId="186" fillId="42" borderId="70" xfId="0" applyNumberFormat="1" applyFont="1" applyFill="1" applyBorder="1" applyAlignment="1">
      <alignment horizontal="center" vertical="center"/>
    </xf>
    <xf numFmtId="180" fontId="186" fillId="42" borderId="2" xfId="0" applyNumberFormat="1" applyFont="1" applyFill="1" applyBorder="1" applyAlignment="1">
      <alignment horizontal="center" vertical="center"/>
    </xf>
    <xf numFmtId="180" fontId="186" fillId="42" borderId="71" xfId="0" applyNumberFormat="1" applyFont="1" applyFill="1" applyBorder="1" applyAlignment="1">
      <alignment horizontal="center" vertical="center"/>
    </xf>
    <xf numFmtId="180" fontId="186" fillId="43" borderId="2" xfId="0" applyNumberFormat="1" applyFont="1" applyFill="1" applyBorder="1" applyAlignment="1">
      <alignment horizontal="center" vertical="center"/>
    </xf>
    <xf numFmtId="180" fontId="186" fillId="44" borderId="34" xfId="0" applyNumberFormat="1" applyFont="1" applyFill="1" applyBorder="1" applyAlignment="1">
      <alignment horizontal="center" vertical="center"/>
    </xf>
    <xf numFmtId="180" fontId="186" fillId="44" borderId="35" xfId="0" applyNumberFormat="1" applyFont="1" applyFill="1" applyBorder="1" applyAlignment="1">
      <alignment horizontal="center" vertical="center"/>
    </xf>
    <xf numFmtId="180" fontId="186" fillId="42" borderId="69" xfId="0" applyNumberFormat="1" applyFont="1" applyFill="1" applyBorder="1" applyAlignment="1">
      <alignment horizontal="center" vertical="center"/>
    </xf>
    <xf numFmtId="180" fontId="186" fillId="42" borderId="50" xfId="0" applyNumberFormat="1" applyFont="1" applyFill="1" applyBorder="1" applyAlignment="1">
      <alignment horizontal="center" vertical="center"/>
    </xf>
    <xf numFmtId="180" fontId="186" fillId="42" borderId="62" xfId="0" applyNumberFormat="1" applyFont="1" applyFill="1" applyBorder="1" applyAlignment="1">
      <alignment horizontal="center" vertical="center"/>
    </xf>
    <xf numFmtId="180" fontId="186" fillId="43" borderId="50" xfId="0" applyNumberFormat="1" applyFont="1" applyFill="1" applyBorder="1" applyAlignment="1">
      <alignment horizontal="center" vertical="center"/>
    </xf>
    <xf numFmtId="180" fontId="186" fillId="47" borderId="55" xfId="0" applyNumberFormat="1" applyFont="1" applyFill="1" applyBorder="1" applyAlignment="1">
      <alignment horizontal="center" vertical="center" wrapText="1"/>
    </xf>
    <xf numFmtId="180" fontId="186" fillId="38" borderId="56" xfId="11177" applyNumberFormat="1" applyFont="1" applyFill="1" applyBorder="1" applyAlignment="1">
      <alignment horizontal="center" vertical="center"/>
    </xf>
    <xf numFmtId="180" fontId="186" fillId="44" borderId="25" xfId="0" applyNumberFormat="1" applyFont="1" applyFill="1" applyBorder="1" applyAlignment="1">
      <alignment horizontal="center" vertical="center"/>
    </xf>
    <xf numFmtId="180" fontId="186" fillId="42" borderId="57" xfId="0" applyNumberFormat="1" applyFont="1" applyFill="1" applyBorder="1" applyAlignment="1">
      <alignment horizontal="center" vertical="center"/>
    </xf>
    <xf numFmtId="180" fontId="186" fillId="42" borderId="48" xfId="0" applyNumberFormat="1" applyFont="1" applyFill="1" applyBorder="1" applyAlignment="1">
      <alignment horizontal="center" vertical="center"/>
    </xf>
    <xf numFmtId="180" fontId="186" fillId="42" borderId="58" xfId="0" applyNumberFormat="1" applyFont="1" applyFill="1" applyBorder="1" applyAlignment="1">
      <alignment horizontal="center" vertical="center"/>
    </xf>
    <xf numFmtId="180" fontId="187" fillId="44" borderId="13" xfId="0" applyNumberFormat="1" applyFont="1" applyFill="1" applyBorder="1" applyAlignment="1">
      <alignment horizontal="center" vertical="center"/>
    </xf>
    <xf numFmtId="180" fontId="187" fillId="44" borderId="0" xfId="0" applyNumberFormat="1" applyFont="1" applyFill="1" applyBorder="1" applyAlignment="1">
      <alignment horizontal="center" vertical="center"/>
    </xf>
    <xf numFmtId="180" fontId="186" fillId="46" borderId="34" xfId="0" applyNumberFormat="1" applyFont="1" applyFill="1" applyBorder="1" applyAlignment="1">
      <alignment horizontal="center" vertical="center"/>
    </xf>
    <xf numFmtId="180" fontId="186" fillId="46" borderId="35" xfId="0" applyNumberFormat="1" applyFont="1" applyFill="1" applyBorder="1" applyAlignment="1">
      <alignment horizontal="center" vertical="center"/>
    </xf>
    <xf numFmtId="180" fontId="186" fillId="42" borderId="69" xfId="0" applyNumberFormat="1" applyFont="1" applyFill="1" applyBorder="1" applyAlignment="1">
      <alignment horizontal="center" vertical="center" wrapText="1"/>
    </xf>
    <xf numFmtId="180" fontId="186" fillId="42" borderId="62" xfId="11177" applyNumberFormat="1" applyFont="1" applyFill="1" applyBorder="1" applyAlignment="1">
      <alignment horizontal="center" vertical="center"/>
    </xf>
    <xf numFmtId="180" fontId="186" fillId="42" borderId="55" xfId="0" applyNumberFormat="1" applyFont="1" applyFill="1" applyBorder="1" applyAlignment="1">
      <alignment horizontal="center" vertical="center" wrapText="1"/>
    </xf>
    <xf numFmtId="180" fontId="186" fillId="42" borderId="56" xfId="11177" applyNumberFormat="1" applyFont="1" applyFill="1" applyBorder="1" applyAlignment="1">
      <alignment horizontal="center" vertical="center"/>
    </xf>
    <xf numFmtId="180" fontId="186" fillId="42" borderId="71" xfId="11177" applyNumberFormat="1" applyFont="1" applyFill="1" applyBorder="1" applyAlignment="1">
      <alignment horizontal="center" vertical="center"/>
    </xf>
    <xf numFmtId="180" fontId="186" fillId="47" borderId="55" xfId="0" applyNumberFormat="1" applyFont="1" applyFill="1" applyBorder="1" applyAlignment="1">
      <alignment horizontal="center"/>
    </xf>
    <xf numFmtId="180" fontId="186" fillId="38" borderId="56" xfId="0" applyNumberFormat="1" applyFont="1" applyFill="1" applyBorder="1" applyAlignment="1">
      <alignment horizontal="center"/>
    </xf>
    <xf numFmtId="180" fontId="186" fillId="44" borderId="25" xfId="0" applyNumberFormat="1" applyFont="1" applyFill="1" applyBorder="1" applyAlignment="1">
      <alignment horizontal="center"/>
    </xf>
    <xf numFmtId="180" fontId="186" fillId="42" borderId="70" xfId="0" applyNumberFormat="1" applyFont="1" applyFill="1" applyBorder="1" applyAlignment="1">
      <alignment horizontal="center" vertical="center" wrapText="1"/>
    </xf>
    <xf numFmtId="180" fontId="186" fillId="0" borderId="0" xfId="0" applyNumberFormat="1" applyFont="1" applyFill="1" applyBorder="1" applyAlignment="1">
      <alignment horizontal="center" vertical="center"/>
    </xf>
    <xf numFmtId="180" fontId="186" fillId="0" borderId="0" xfId="0" applyNumberFormat="1" applyFont="1" applyFill="1" applyBorder="1" applyAlignment="1">
      <alignment horizontal="center"/>
    </xf>
    <xf numFmtId="180" fontId="211" fillId="0" borderId="0" xfId="0" applyNumberFormat="1" applyFont="1" applyBorder="1" applyAlignment="1">
      <alignment horizontal="center"/>
    </xf>
    <xf numFmtId="180" fontId="186" fillId="0" borderId="0" xfId="0" applyNumberFormat="1" applyFont="1" applyBorder="1" applyAlignment="1">
      <alignment horizontal="center"/>
    </xf>
    <xf numFmtId="180" fontId="188" fillId="0" borderId="0" xfId="0" applyNumberFormat="1" applyFont="1" applyFill="1" applyBorder="1" applyAlignment="1">
      <alignment horizontal="center"/>
    </xf>
    <xf numFmtId="180" fontId="186" fillId="0" borderId="0" xfId="0" applyNumberFormat="1" applyFont="1" applyAlignment="1">
      <alignment horizontal="center"/>
    </xf>
    <xf numFmtId="0" fontId="196" fillId="44" borderId="13" xfId="0" applyFont="1" applyFill="1" applyBorder="1" applyAlignment="1">
      <alignment vertical="center" wrapText="1"/>
    </xf>
    <xf numFmtId="0" fontId="195" fillId="0" borderId="13" xfId="0" applyFont="1" applyBorder="1" applyAlignment="1">
      <alignment vertical="center" wrapText="1"/>
    </xf>
    <xf numFmtId="180" fontId="186" fillId="44" borderId="13" xfId="0" applyNumberFormat="1" applyFont="1" applyFill="1" applyBorder="1" applyAlignment="1">
      <alignment horizontal="center"/>
    </xf>
    <xf numFmtId="169" fontId="186" fillId="44" borderId="65" xfId="0" applyNumberFormat="1" applyFont="1" applyFill="1" applyBorder="1"/>
    <xf numFmtId="180" fontId="187" fillId="41" borderId="38" xfId="0" applyNumberFormat="1" applyFont="1" applyFill="1" applyBorder="1" applyAlignment="1">
      <alignment horizontal="center" vertical="center"/>
    </xf>
    <xf numFmtId="180" fontId="188" fillId="41" borderId="51" xfId="0" applyNumberFormat="1" applyFont="1" applyFill="1" applyBorder="1" applyAlignment="1">
      <alignment horizontal="center" vertical="top" wrapText="1"/>
    </xf>
    <xf numFmtId="180" fontId="186" fillId="41" borderId="56" xfId="0" applyNumberFormat="1" applyFont="1" applyFill="1" applyBorder="1" applyAlignment="1">
      <alignment horizontal="center" vertical="center"/>
    </xf>
    <xf numFmtId="180" fontId="186" fillId="41" borderId="35" xfId="0" applyNumberFormat="1" applyFont="1" applyFill="1" applyBorder="1" applyAlignment="1">
      <alignment horizontal="center" vertical="center"/>
    </xf>
    <xf numFmtId="180" fontId="186" fillId="41" borderId="56" xfId="11177" applyNumberFormat="1" applyFont="1" applyFill="1" applyBorder="1" applyAlignment="1">
      <alignment horizontal="center" vertical="center"/>
    </xf>
    <xf numFmtId="180" fontId="186" fillId="41" borderId="56" xfId="0" applyNumberFormat="1" applyFont="1" applyFill="1" applyBorder="1" applyAlignment="1">
      <alignment horizontal="center"/>
    </xf>
    <xf numFmtId="180" fontId="187" fillId="41" borderId="35" xfId="0" applyNumberFormat="1" applyFont="1" applyFill="1" applyBorder="1" applyAlignment="1">
      <alignment horizontal="center" vertical="center"/>
    </xf>
    <xf numFmtId="180" fontId="187" fillId="41" borderId="73" xfId="0" applyNumberFormat="1" applyFont="1" applyFill="1" applyBorder="1" applyAlignment="1">
      <alignment horizontal="center" vertical="center"/>
    </xf>
    <xf numFmtId="180" fontId="187" fillId="44" borderId="34" xfId="0" applyNumberFormat="1" applyFont="1" applyFill="1" applyBorder="1" applyAlignment="1">
      <alignment horizontal="center" vertical="center"/>
    </xf>
    <xf numFmtId="169" fontId="209" fillId="0" borderId="0" xfId="0" applyNumberFormat="1" applyFont="1" applyFill="1" applyBorder="1"/>
    <xf numFmtId="169" fontId="210" fillId="44" borderId="0" xfId="0" applyNumberFormat="1" applyFont="1" applyFill="1" applyBorder="1"/>
    <xf numFmtId="180" fontId="186" fillId="46" borderId="46" xfId="0" applyNumberFormat="1" applyFont="1" applyFill="1" applyBorder="1" applyAlignment="1">
      <alignment horizontal="center" vertical="center"/>
    </xf>
    <xf numFmtId="177" fontId="186" fillId="40" borderId="46" xfId="0" applyNumberFormat="1" applyFont="1" applyFill="1" applyBorder="1" applyAlignment="1">
      <alignment vertical="center"/>
    </xf>
    <xf numFmtId="180" fontId="186" fillId="41" borderId="46" xfId="0" applyNumberFormat="1" applyFont="1" applyFill="1" applyBorder="1" applyAlignment="1">
      <alignment horizontal="center" vertical="center"/>
    </xf>
    <xf numFmtId="177" fontId="186" fillId="42" borderId="74" xfId="0" applyNumberFormat="1" applyFont="1" applyFill="1" applyBorder="1" applyAlignment="1">
      <alignment vertical="center"/>
    </xf>
    <xf numFmtId="172" fontId="186" fillId="39" borderId="13" xfId="0" applyNumberFormat="1" applyFont="1" applyFill="1" applyBorder="1" applyAlignment="1">
      <alignment vertical="center"/>
    </xf>
    <xf numFmtId="173" fontId="186" fillId="37" borderId="46" xfId="11177" applyNumberFormat="1" applyFont="1" applyFill="1" applyBorder="1" applyAlignment="1">
      <alignment vertical="center"/>
    </xf>
    <xf numFmtId="177" fontId="186" fillId="0" borderId="34" xfId="0" applyNumberFormat="1" applyFont="1" applyFill="1" applyBorder="1" applyAlignment="1">
      <alignment vertical="center"/>
    </xf>
    <xf numFmtId="173" fontId="209" fillId="0" borderId="34" xfId="11177" applyNumberFormat="1" applyFont="1" applyFill="1" applyBorder="1" applyAlignment="1">
      <alignment vertical="center"/>
    </xf>
    <xf numFmtId="180" fontId="187" fillId="0" borderId="34" xfId="0" applyNumberFormat="1" applyFont="1" applyFill="1" applyBorder="1" applyAlignment="1">
      <alignment horizontal="center" vertical="center"/>
    </xf>
    <xf numFmtId="169" fontId="187" fillId="40" borderId="34" xfId="0" applyNumberFormat="1" applyFont="1" applyFill="1" applyBorder="1"/>
    <xf numFmtId="180" fontId="186" fillId="41" borderId="59" xfId="0" applyNumberFormat="1" applyFont="1" applyFill="1" applyBorder="1" applyAlignment="1">
      <alignment horizontal="center" vertical="center"/>
    </xf>
    <xf numFmtId="1" fontId="186" fillId="44" borderId="0" xfId="0" applyNumberFormat="1" applyFont="1" applyFill="1" applyBorder="1" applyAlignment="1">
      <alignment vertical="center"/>
    </xf>
    <xf numFmtId="173" fontId="186" fillId="44" borderId="37" xfId="11177" applyNumberFormat="1" applyFont="1" applyFill="1" applyBorder="1" applyAlignment="1">
      <alignment vertical="center"/>
    </xf>
    <xf numFmtId="180" fontId="186" fillId="44" borderId="0" xfId="0" applyNumberFormat="1" applyFont="1" applyFill="1" applyBorder="1" applyAlignment="1">
      <alignment horizontal="center" vertical="center"/>
    </xf>
    <xf numFmtId="177" fontId="186" fillId="44" borderId="0" xfId="0" applyNumberFormat="1" applyFont="1" applyFill="1" applyBorder="1" applyAlignment="1">
      <alignment vertical="center"/>
    </xf>
    <xf numFmtId="172" fontId="197" fillId="44" borderId="0" xfId="0" applyNumberFormat="1" applyFont="1" applyFill="1" applyBorder="1" applyAlignment="1">
      <alignment vertical="center"/>
    </xf>
    <xf numFmtId="172" fontId="197" fillId="44" borderId="0" xfId="11177" applyNumberFormat="1" applyFont="1" applyFill="1" applyBorder="1" applyAlignment="1">
      <alignment vertical="center"/>
    </xf>
    <xf numFmtId="165" fontId="197" fillId="44" borderId="0" xfId="0" applyNumberFormat="1" applyFont="1" applyFill="1" applyBorder="1"/>
    <xf numFmtId="176" fontId="188" fillId="44" borderId="0" xfId="798" applyNumberFormat="1" applyFont="1" applyFill="1" applyBorder="1"/>
    <xf numFmtId="176" fontId="189" fillId="44" borderId="0" xfId="798" applyNumberFormat="1" applyFont="1" applyFill="1" applyBorder="1"/>
    <xf numFmtId="176" fontId="186" fillId="44" borderId="0" xfId="798" applyNumberFormat="1" applyFont="1" applyFill="1" applyBorder="1"/>
    <xf numFmtId="0" fontId="188" fillId="44" borderId="4" xfId="798" applyFont="1" applyFill="1" applyBorder="1"/>
    <xf numFmtId="176" fontId="189" fillId="44" borderId="1" xfId="798" applyNumberFormat="1" applyFont="1" applyFill="1" applyBorder="1"/>
    <xf numFmtId="176" fontId="186" fillId="44" borderId="1" xfId="798" applyNumberFormat="1" applyFont="1" applyFill="1" applyBorder="1"/>
    <xf numFmtId="0" fontId="186" fillId="44" borderId="51" xfId="0" applyFont="1" applyFill="1" applyBorder="1"/>
    <xf numFmtId="0" fontId="186" fillId="44" borderId="34" xfId="0" applyFont="1" applyFill="1" applyBorder="1"/>
    <xf numFmtId="0" fontId="186" fillId="0" borderId="36" xfId="0" applyFont="1" applyBorder="1"/>
    <xf numFmtId="169" fontId="210" fillId="44" borderId="13" xfId="0" applyNumberFormat="1" applyFont="1" applyFill="1" applyBorder="1"/>
    <xf numFmtId="180" fontId="186" fillId="44" borderId="4" xfId="0" applyNumberFormat="1" applyFont="1" applyFill="1" applyBorder="1" applyAlignment="1">
      <alignment horizontal="center" vertical="center"/>
    </xf>
    <xf numFmtId="180" fontId="186" fillId="44" borderId="34" xfId="0" applyNumberFormat="1" applyFont="1" applyFill="1" applyBorder="1" applyAlignment="1">
      <alignment horizontal="center" vertical="center" wrapText="1"/>
    </xf>
    <xf numFmtId="173" fontId="186" fillId="44" borderId="46" xfId="11177" applyNumberFormat="1" applyFont="1" applyFill="1" applyBorder="1" applyAlignment="1">
      <alignment vertical="center"/>
    </xf>
    <xf numFmtId="180" fontId="186" fillId="44" borderId="75" xfId="11177" applyNumberFormat="1" applyFont="1" applyFill="1" applyBorder="1" applyAlignment="1">
      <alignment horizontal="center" vertical="center"/>
    </xf>
    <xf numFmtId="180" fontId="186" fillId="44" borderId="26" xfId="11177" applyNumberFormat="1" applyFont="1" applyFill="1" applyBorder="1" applyAlignment="1">
      <alignment horizontal="center" vertical="center"/>
    </xf>
    <xf numFmtId="180" fontId="186" fillId="44" borderId="34" xfId="11177" applyNumberFormat="1" applyFont="1" applyFill="1" applyBorder="1" applyAlignment="1">
      <alignment horizontal="center" vertical="center"/>
    </xf>
    <xf numFmtId="180" fontId="186" fillId="42" borderId="76" xfId="11177" applyNumberFormat="1" applyFont="1" applyFill="1" applyBorder="1" applyAlignment="1">
      <alignment horizontal="center" vertical="center"/>
    </xf>
    <xf numFmtId="0" fontId="185" fillId="42" borderId="65" xfId="0" applyFont="1" applyFill="1" applyBorder="1"/>
    <xf numFmtId="180" fontId="186" fillId="42" borderId="56" xfId="0" quotePrefix="1" applyNumberFormat="1" applyFont="1" applyFill="1" applyBorder="1" applyAlignment="1">
      <alignment horizontal="center" vertical="center"/>
    </xf>
    <xf numFmtId="180" fontId="188" fillId="41" borderId="51" xfId="0" quotePrefix="1" applyNumberFormat="1" applyFont="1" applyFill="1" applyBorder="1" applyAlignment="1">
      <alignment horizontal="center" vertical="top" wrapText="1"/>
    </xf>
    <xf numFmtId="169" fontId="209" fillId="44" borderId="36" xfId="0" applyNumberFormat="1" applyFont="1" applyFill="1" applyBorder="1"/>
    <xf numFmtId="180" fontId="186" fillId="51" borderId="56" xfId="0" applyNumberFormat="1" applyFont="1" applyFill="1" applyBorder="1" applyAlignment="1">
      <alignment horizontal="center" vertical="center"/>
    </xf>
    <xf numFmtId="0" fontId="187" fillId="46" borderId="69" xfId="0" applyFont="1" applyFill="1" applyBorder="1" applyAlignment="1">
      <alignment horizontal="center" vertical="center" wrapText="1"/>
    </xf>
    <xf numFmtId="0" fontId="187" fillId="46" borderId="50" xfId="0" applyFont="1" applyFill="1" applyBorder="1" applyAlignment="1">
      <alignment horizontal="center" vertical="center"/>
    </xf>
    <xf numFmtId="0" fontId="187" fillId="46" borderId="7" xfId="0" applyFont="1" applyFill="1" applyBorder="1" applyAlignment="1">
      <alignment horizontal="center" vertical="center"/>
    </xf>
    <xf numFmtId="180" fontId="187" fillId="46" borderId="54" xfId="0" applyNumberFormat="1" applyFont="1" applyFill="1" applyBorder="1" applyAlignment="1">
      <alignment horizontal="center" vertical="center"/>
    </xf>
    <xf numFmtId="180" fontId="187" fillId="46" borderId="49" xfId="0" applyNumberFormat="1" applyFont="1" applyFill="1" applyBorder="1" applyAlignment="1">
      <alignment horizontal="center" vertical="center"/>
    </xf>
    <xf numFmtId="180" fontId="187" fillId="46" borderId="38" xfId="0" applyNumberFormat="1" applyFont="1" applyFill="1" applyBorder="1" applyAlignment="1">
      <alignment horizontal="center" vertical="center"/>
    </xf>
    <xf numFmtId="0" fontId="187" fillId="46" borderId="53" xfId="0" applyFont="1" applyFill="1" applyBorder="1" applyAlignment="1">
      <alignment horizontal="center" vertical="center"/>
    </xf>
    <xf numFmtId="0" fontId="187" fillId="46" borderId="60" xfId="0" applyFont="1" applyFill="1" applyBorder="1" applyAlignment="1">
      <alignment horizontal="center" vertical="center"/>
    </xf>
    <xf numFmtId="0" fontId="187" fillId="46" borderId="61" xfId="0" applyFont="1" applyFill="1" applyBorder="1" applyAlignment="1">
      <alignment horizontal="center" vertical="center"/>
    </xf>
    <xf numFmtId="1" fontId="189" fillId="0" borderId="50" xfId="0" applyNumberFormat="1" applyFont="1" applyBorder="1" applyAlignment="1">
      <alignment horizontal="center" vertical="center"/>
    </xf>
    <xf numFmtId="1" fontId="189" fillId="0" borderId="62" xfId="0" applyNumberFormat="1" applyFont="1" applyBorder="1" applyAlignment="1">
      <alignment horizontal="center" vertical="center"/>
    </xf>
    <xf numFmtId="180" fontId="188" fillId="41" borderId="64" xfId="0" applyNumberFormat="1" applyFont="1" applyFill="1" applyBorder="1" applyAlignment="1">
      <alignment horizontal="center" vertical="center" wrapText="1"/>
    </xf>
    <xf numFmtId="180" fontId="188" fillId="41" borderId="67" xfId="0" applyNumberFormat="1" applyFont="1" applyFill="1" applyBorder="1" applyAlignment="1">
      <alignment horizontal="center" vertical="center" wrapText="1"/>
    </xf>
    <xf numFmtId="15" fontId="153" fillId="38" borderId="14" xfId="0" quotePrefix="1" applyNumberFormat="1" applyFont="1" applyFill="1" applyBorder="1" applyAlignment="1">
      <alignment horizontal="center"/>
    </xf>
    <xf numFmtId="15" fontId="153" fillId="38" borderId="15" xfId="0" quotePrefix="1" applyNumberFormat="1" applyFont="1" applyFill="1" applyBorder="1" applyAlignment="1">
      <alignment horizontal="center"/>
    </xf>
    <xf numFmtId="0" fontId="202" fillId="0" borderId="26" xfId="0" applyFont="1" applyFill="1" applyBorder="1" applyAlignment="1" applyProtection="1">
      <alignment horizontal="center" vertical="center"/>
      <protection locked="0"/>
    </xf>
    <xf numFmtId="0" fontId="202" fillId="0" borderId="34" xfId="0" applyFont="1" applyFill="1" applyBorder="1" applyAlignment="1" applyProtection="1">
      <alignment horizontal="center" vertical="center"/>
      <protection locked="0"/>
    </xf>
    <xf numFmtId="0" fontId="202" fillId="0" borderId="35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112"/>
  <sheetViews>
    <sheetView tabSelected="1" topLeftCell="A64" zoomScaleNormal="100" zoomScaleSheetLayoutView="85" workbookViewId="0">
      <selection activeCell="P17" sqref="P17"/>
    </sheetView>
  </sheetViews>
  <sheetFormatPr defaultRowHeight="12.75" customHeight="1" x14ac:dyDescent="0.2"/>
  <cols>
    <col min="1" max="1" width="3" style="201" customWidth="1"/>
    <col min="2" max="2" width="44.85546875" style="84" customWidth="1"/>
    <col min="3" max="3" width="9.5703125" style="367" bestFit="1" customWidth="1"/>
    <col min="4" max="4" width="10.5703125" style="367" bestFit="1" customWidth="1"/>
    <col min="5" max="5" width="5.140625" style="367" hidden="1" customWidth="1"/>
    <col min="6" max="6" width="9.5703125" style="367" bestFit="1" customWidth="1"/>
    <col min="7" max="7" width="11" style="84" hidden="1" customWidth="1"/>
    <col min="8" max="8" width="11" style="92" hidden="1" customWidth="1"/>
    <col min="9" max="9" width="11" style="84" hidden="1" customWidth="1"/>
    <col min="10" max="10" width="8.5703125" style="367" bestFit="1" customWidth="1"/>
    <col min="11" max="11" width="9.5703125" style="367" bestFit="1" customWidth="1"/>
    <col min="12" max="12" width="11" style="367" hidden="1" customWidth="1"/>
    <col min="13" max="13" width="9.5703125" style="367" bestFit="1" customWidth="1"/>
    <col min="14" max="14" width="10.7109375" style="367" customWidth="1"/>
    <col min="15" max="15" width="11.42578125" style="367" customWidth="1"/>
    <col min="16" max="16" width="8.140625" style="84" customWidth="1"/>
    <col min="17" max="17" width="40.7109375" style="84" customWidth="1"/>
    <col min="18" max="18" width="10.28515625" style="86" customWidth="1"/>
    <col min="19" max="22" width="10.7109375" style="84" customWidth="1"/>
    <col min="23" max="23" width="11.5703125" style="84" bestFit="1" customWidth="1"/>
    <col min="24" max="30" width="10.7109375" style="84" customWidth="1"/>
    <col min="31" max="31" width="12" style="85" bestFit="1" customWidth="1"/>
    <col min="32" max="32" width="9.140625" style="84" customWidth="1"/>
    <col min="33" max="16384" width="9.140625" style="84"/>
  </cols>
  <sheetData>
    <row r="1" spans="1:33" ht="12.75" customHeight="1" x14ac:dyDescent="0.2">
      <c r="B1" s="222" t="s">
        <v>774</v>
      </c>
      <c r="C1" s="324"/>
      <c r="D1" s="324"/>
      <c r="E1" s="324"/>
      <c r="F1" s="324"/>
      <c r="G1" s="200"/>
      <c r="H1" s="185"/>
      <c r="I1" s="87"/>
      <c r="J1" s="324"/>
      <c r="K1" s="324"/>
      <c r="L1" s="324"/>
      <c r="M1" s="324"/>
      <c r="N1" s="324"/>
      <c r="O1" s="324"/>
      <c r="P1" s="201"/>
      <c r="Q1" s="201"/>
      <c r="R1" s="200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2"/>
      <c r="AF1" s="201"/>
      <c r="AG1" s="89"/>
    </row>
    <row r="2" spans="1:33" ht="12.75" customHeight="1" x14ac:dyDescent="0.25">
      <c r="B2" s="209" t="s">
        <v>996</v>
      </c>
      <c r="C2" s="316">
        <v>7</v>
      </c>
      <c r="D2" s="324"/>
      <c r="E2" s="324"/>
      <c r="F2" s="324"/>
      <c r="G2" s="223"/>
      <c r="H2" s="186">
        <v>227</v>
      </c>
      <c r="I2" s="87"/>
      <c r="J2" s="324"/>
      <c r="K2" s="324"/>
      <c r="L2" s="324"/>
      <c r="M2" s="324"/>
      <c r="N2" s="324"/>
      <c r="O2" s="324"/>
      <c r="P2" s="217"/>
      <c r="Q2" s="217"/>
      <c r="R2" s="200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2"/>
      <c r="AF2" s="201"/>
      <c r="AG2" s="89"/>
    </row>
    <row r="3" spans="1:33" ht="12.75" customHeight="1" thickBot="1" x14ac:dyDescent="0.25">
      <c r="B3" s="224">
        <v>42947</v>
      </c>
      <c r="C3" s="324"/>
      <c r="D3" s="324"/>
      <c r="E3" s="324"/>
      <c r="F3" s="324"/>
      <c r="G3" s="368"/>
      <c r="H3" s="369">
        <v>232</v>
      </c>
      <c r="I3" s="369">
        <v>213</v>
      </c>
      <c r="J3" s="370"/>
      <c r="K3" s="370"/>
      <c r="L3" s="370"/>
      <c r="M3" s="370"/>
      <c r="N3" s="370"/>
      <c r="O3" s="370"/>
      <c r="P3" s="217"/>
      <c r="Q3" s="217"/>
      <c r="R3" s="200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2"/>
      <c r="AF3" s="201"/>
      <c r="AG3" s="89"/>
    </row>
    <row r="4" spans="1:33" ht="12.75" customHeight="1" thickBot="1" x14ac:dyDescent="0.25">
      <c r="B4" s="200" t="s">
        <v>1054</v>
      </c>
      <c r="C4" s="426" t="s">
        <v>973</v>
      </c>
      <c r="D4" s="427"/>
      <c r="E4" s="427"/>
      <c r="F4" s="428"/>
      <c r="G4" s="423" t="s">
        <v>1021</v>
      </c>
      <c r="H4" s="424"/>
      <c r="I4" s="425"/>
      <c r="J4" s="372"/>
      <c r="K4" s="372" t="s">
        <v>1052</v>
      </c>
      <c r="L4" s="434" t="s">
        <v>1051</v>
      </c>
      <c r="M4" s="372" t="s">
        <v>1052</v>
      </c>
      <c r="N4" s="372"/>
      <c r="O4" s="372" t="s">
        <v>1060</v>
      </c>
      <c r="P4" s="217"/>
      <c r="Q4" s="429" t="s">
        <v>1005</v>
      </c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1"/>
      <c r="AG4" s="89"/>
    </row>
    <row r="5" spans="1:33" s="88" customFormat="1" ht="39" thickBot="1" x14ac:dyDescent="0.25">
      <c r="A5" s="218"/>
      <c r="B5" s="286"/>
      <c r="C5" s="317" t="s">
        <v>1020</v>
      </c>
      <c r="D5" s="318" t="s">
        <v>985</v>
      </c>
      <c r="E5" s="320" t="s">
        <v>1008</v>
      </c>
      <c r="F5" s="319" t="s">
        <v>1021</v>
      </c>
      <c r="G5" s="268" t="s">
        <v>1021</v>
      </c>
      <c r="H5" s="269" t="s">
        <v>999</v>
      </c>
      <c r="I5" s="270" t="s">
        <v>995</v>
      </c>
      <c r="J5" s="420" t="s">
        <v>1055</v>
      </c>
      <c r="K5" s="373" t="s">
        <v>1056</v>
      </c>
      <c r="L5" s="435"/>
      <c r="M5" s="373" t="s">
        <v>1053</v>
      </c>
      <c r="N5" s="373" t="s">
        <v>1059</v>
      </c>
      <c r="O5" s="373" t="s">
        <v>1061</v>
      </c>
      <c r="P5" s="218"/>
      <c r="Q5" s="260"/>
      <c r="R5" s="250" t="s">
        <v>1011</v>
      </c>
      <c r="S5" s="225">
        <v>42736</v>
      </c>
      <c r="T5" s="225">
        <v>42767</v>
      </c>
      <c r="U5" s="225">
        <v>42795</v>
      </c>
      <c r="V5" s="225">
        <v>42826</v>
      </c>
      <c r="W5" s="225">
        <v>42856</v>
      </c>
      <c r="X5" s="225">
        <v>42887</v>
      </c>
      <c r="Y5" s="225">
        <v>42917</v>
      </c>
      <c r="Z5" s="225">
        <v>42948</v>
      </c>
      <c r="AA5" s="225">
        <v>42979</v>
      </c>
      <c r="AB5" s="225">
        <v>43009</v>
      </c>
      <c r="AC5" s="225">
        <v>43040</v>
      </c>
      <c r="AD5" s="225">
        <v>43070</v>
      </c>
      <c r="AE5" s="432" t="s">
        <v>1006</v>
      </c>
      <c r="AF5" s="433"/>
      <c r="AG5" s="187"/>
    </row>
    <row r="6" spans="1:33" ht="12.75" customHeight="1" x14ac:dyDescent="0.2">
      <c r="B6" s="232" t="s">
        <v>1043</v>
      </c>
      <c r="C6" s="325"/>
      <c r="D6" s="326"/>
      <c r="E6" s="328"/>
      <c r="F6" s="327"/>
      <c r="G6" s="233"/>
      <c r="H6" s="184"/>
      <c r="I6" s="228"/>
      <c r="J6" s="419"/>
      <c r="K6" s="327"/>
      <c r="L6" s="327"/>
      <c r="M6" s="327"/>
      <c r="N6" s="327"/>
      <c r="O6" s="327"/>
      <c r="P6" s="220"/>
      <c r="Q6" s="265" t="s">
        <v>1043</v>
      </c>
      <c r="R6" s="253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44" t="b">
        <f>AE6=R6</f>
        <v>1</v>
      </c>
      <c r="AG6" s="89"/>
    </row>
    <row r="7" spans="1:33" ht="12.75" customHeight="1" x14ac:dyDescent="0.2">
      <c r="B7" s="237" t="s">
        <v>775</v>
      </c>
      <c r="C7" s="329">
        <f>-TB!D42-TB!D45</f>
        <v>231588.41</v>
      </c>
      <c r="D7" s="330">
        <f>+C7-F7</f>
        <v>27421.739999999991</v>
      </c>
      <c r="E7" s="332">
        <f>IFERROR(ROUND((D7/ABS(F7))*100,0),0)</f>
        <v>13</v>
      </c>
      <c r="F7" s="331">
        <f>ROUND(SUMIF($S$5:$AD$5,"&lt;="&amp;$B$3,S7:AD7),2)</f>
        <v>204166.67</v>
      </c>
      <c r="G7" s="235">
        <v>350000</v>
      </c>
      <c r="H7" s="184">
        <f>+C7-I7</f>
        <v>-75711.59</v>
      </c>
      <c r="I7" s="228">
        <v>307300</v>
      </c>
      <c r="J7" s="393">
        <f>R7-C7</f>
        <v>118411.59</v>
      </c>
      <c r="K7" s="374">
        <f>SUM(Z7:AD7)</f>
        <v>145833.33333333334</v>
      </c>
      <c r="L7" s="374">
        <f>K7-J7</f>
        <v>27421.743333333347</v>
      </c>
      <c r="M7" s="393">
        <v>128412</v>
      </c>
      <c r="N7" s="393">
        <f>C7+M7</f>
        <v>360000.41000000003</v>
      </c>
      <c r="O7" s="393">
        <f>R7-N7</f>
        <v>-10000.410000000033</v>
      </c>
      <c r="P7" s="220"/>
      <c r="Q7" s="264" t="s">
        <v>775</v>
      </c>
      <c r="R7" s="251">
        <v>350000</v>
      </c>
      <c r="S7" s="204">
        <f t="shared" ref="S7:AD7" si="0">$R7/12</f>
        <v>29166.666666666668</v>
      </c>
      <c r="T7" s="204">
        <f t="shared" si="0"/>
        <v>29166.666666666668</v>
      </c>
      <c r="U7" s="204">
        <f t="shared" si="0"/>
        <v>29166.666666666668</v>
      </c>
      <c r="V7" s="204">
        <f t="shared" si="0"/>
        <v>29166.666666666668</v>
      </c>
      <c r="W7" s="204">
        <f t="shared" si="0"/>
        <v>29166.666666666668</v>
      </c>
      <c r="X7" s="204">
        <f t="shared" si="0"/>
        <v>29166.666666666668</v>
      </c>
      <c r="Y7" s="204">
        <f t="shared" si="0"/>
        <v>29166.666666666668</v>
      </c>
      <c r="Z7" s="204">
        <f t="shared" si="0"/>
        <v>29166.666666666668</v>
      </c>
      <c r="AA7" s="204">
        <f t="shared" si="0"/>
        <v>29166.666666666668</v>
      </c>
      <c r="AB7" s="204">
        <f t="shared" si="0"/>
        <v>29166.666666666668</v>
      </c>
      <c r="AC7" s="204">
        <f t="shared" si="0"/>
        <v>29166.666666666668</v>
      </c>
      <c r="AD7" s="204">
        <f t="shared" si="0"/>
        <v>29166.666666666668</v>
      </c>
      <c r="AE7" s="204">
        <f>SUM(S7:AD7)</f>
        <v>350000.00000000006</v>
      </c>
      <c r="AF7" s="245" t="b">
        <f>AE7=R7</f>
        <v>1</v>
      </c>
      <c r="AG7" s="89"/>
    </row>
    <row r="8" spans="1:33" ht="12.75" customHeight="1" thickBot="1" x14ac:dyDescent="0.25">
      <c r="B8" s="232" t="s">
        <v>1045</v>
      </c>
      <c r="C8" s="333">
        <f>SUM(C7)</f>
        <v>231588.41</v>
      </c>
      <c r="D8" s="334">
        <f>+C8-F8</f>
        <v>27421.739999999991</v>
      </c>
      <c r="E8" s="336"/>
      <c r="F8" s="335">
        <f>SUM(F7)</f>
        <v>204166.67</v>
      </c>
      <c r="G8" s="233">
        <f>SUM(G7)</f>
        <v>350000</v>
      </c>
      <c r="H8" s="184"/>
      <c r="I8" s="228"/>
      <c r="J8" s="335">
        <f t="shared" ref="J8:O8" si="1">SUM(J7)</f>
        <v>118411.59</v>
      </c>
      <c r="K8" s="335">
        <f t="shared" si="1"/>
        <v>145833.33333333334</v>
      </c>
      <c r="L8" s="335">
        <f t="shared" si="1"/>
        <v>27421.743333333347</v>
      </c>
      <c r="M8" s="335">
        <f t="shared" si="1"/>
        <v>128412</v>
      </c>
      <c r="N8" s="335">
        <f t="shared" si="1"/>
        <v>360000.41000000003</v>
      </c>
      <c r="O8" s="335">
        <f t="shared" si="1"/>
        <v>-10000.410000000033</v>
      </c>
      <c r="P8" s="371"/>
      <c r="Q8" s="265" t="s">
        <v>1045</v>
      </c>
      <c r="R8" s="280">
        <f>SUM(R7)</f>
        <v>350000</v>
      </c>
      <c r="S8" s="281">
        <f t="shared" ref="S8:AE8" si="2">SUM(S7)</f>
        <v>29166.666666666668</v>
      </c>
      <c r="T8" s="281">
        <f t="shared" si="2"/>
        <v>29166.666666666668</v>
      </c>
      <c r="U8" s="281">
        <f t="shared" si="2"/>
        <v>29166.666666666668</v>
      </c>
      <c r="V8" s="281">
        <f t="shared" si="2"/>
        <v>29166.666666666668</v>
      </c>
      <c r="W8" s="281">
        <f t="shared" si="2"/>
        <v>29166.666666666668</v>
      </c>
      <c r="X8" s="281">
        <f t="shared" si="2"/>
        <v>29166.666666666668</v>
      </c>
      <c r="Y8" s="281">
        <f t="shared" si="2"/>
        <v>29166.666666666668</v>
      </c>
      <c r="Z8" s="281">
        <f t="shared" si="2"/>
        <v>29166.666666666668</v>
      </c>
      <c r="AA8" s="281">
        <f t="shared" si="2"/>
        <v>29166.666666666668</v>
      </c>
      <c r="AB8" s="281">
        <f t="shared" si="2"/>
        <v>29166.666666666668</v>
      </c>
      <c r="AC8" s="281">
        <f t="shared" si="2"/>
        <v>29166.666666666668</v>
      </c>
      <c r="AD8" s="281">
        <f t="shared" si="2"/>
        <v>29166.666666666668</v>
      </c>
      <c r="AE8" s="281">
        <f t="shared" si="2"/>
        <v>350000.00000000006</v>
      </c>
      <c r="AF8" s="282" t="b">
        <f>AE8=R8</f>
        <v>1</v>
      </c>
      <c r="AG8" s="89"/>
    </row>
    <row r="9" spans="1:33" s="194" customFormat="1" ht="21.75" customHeight="1" thickBot="1" x14ac:dyDescent="0.35">
      <c r="A9" s="203"/>
      <c r="B9" s="289"/>
      <c r="C9" s="337"/>
      <c r="D9" s="337"/>
      <c r="E9" s="337"/>
      <c r="F9" s="338"/>
      <c r="G9" s="287"/>
      <c r="H9" s="198"/>
      <c r="I9" s="226"/>
      <c r="J9" s="375"/>
      <c r="K9" s="375"/>
      <c r="L9" s="375"/>
      <c r="M9" s="375"/>
      <c r="N9" s="375"/>
      <c r="O9" s="375"/>
      <c r="P9" s="421"/>
      <c r="Q9" s="289"/>
      <c r="R9" s="298"/>
      <c r="S9" s="290"/>
      <c r="T9" s="290"/>
      <c r="U9" s="290"/>
      <c r="V9" s="290"/>
      <c r="W9" s="290"/>
      <c r="X9" s="290"/>
      <c r="Y9" s="290"/>
      <c r="Z9" s="299"/>
      <c r="AA9" s="290"/>
      <c r="AB9" s="290"/>
      <c r="AC9" s="290"/>
      <c r="AD9" s="290"/>
      <c r="AE9" s="290"/>
      <c r="AF9" s="291"/>
      <c r="AG9" s="193"/>
    </row>
    <row r="10" spans="1:33" ht="12.75" customHeight="1" x14ac:dyDescent="0.2">
      <c r="B10" s="232" t="s">
        <v>1044</v>
      </c>
      <c r="C10" s="339"/>
      <c r="D10" s="340"/>
      <c r="E10" s="342"/>
      <c r="F10" s="341"/>
      <c r="G10" s="233"/>
      <c r="H10" s="184"/>
      <c r="I10" s="228"/>
      <c r="J10" s="341"/>
      <c r="K10" s="341"/>
      <c r="L10" s="341"/>
      <c r="M10" s="341"/>
      <c r="N10" s="341"/>
      <c r="O10" s="341"/>
      <c r="P10" s="371"/>
      <c r="Q10" s="265" t="s">
        <v>1044</v>
      </c>
      <c r="R10" s="292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4"/>
      <c r="AG10" s="89"/>
    </row>
    <row r="11" spans="1:33" ht="12.75" customHeight="1" x14ac:dyDescent="0.2">
      <c r="B11" s="238" t="s">
        <v>1031</v>
      </c>
      <c r="C11" s="343"/>
      <c r="D11" s="330"/>
      <c r="E11" s="345"/>
      <c r="F11" s="344"/>
      <c r="G11" s="241"/>
      <c r="H11" s="182"/>
      <c r="I11" s="183"/>
      <c r="J11" s="376"/>
      <c r="K11" s="376"/>
      <c r="L11" s="376"/>
      <c r="M11" s="376"/>
      <c r="N11" s="376"/>
      <c r="O11" s="376"/>
      <c r="P11" s="371"/>
      <c r="Q11" s="266" t="s">
        <v>1031</v>
      </c>
      <c r="R11" s="255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04"/>
      <c r="AF11" s="247"/>
      <c r="AG11" s="89"/>
    </row>
    <row r="12" spans="1:33" ht="12.75" customHeight="1" x14ac:dyDescent="0.2">
      <c r="B12" s="237" t="s">
        <v>928</v>
      </c>
      <c r="C12" s="329">
        <f>-TB!D69-TB!D70-TB!D90-TB!D111-TB!D58</f>
        <v>-38377.660000000003</v>
      </c>
      <c r="D12" s="330">
        <f>+C12-F12</f>
        <v>2455.6699999999983</v>
      </c>
      <c r="E12" s="332">
        <f>IFERROR(ROUND((D12/ABS(F12))*100,0),0)</f>
        <v>6</v>
      </c>
      <c r="F12" s="331">
        <f>ROUND(SUMIF($S$5:$AD$5,"&lt;="&amp;$B$3,S12:AD12),2)</f>
        <v>-40833.33</v>
      </c>
      <c r="G12" s="235">
        <v>-70000</v>
      </c>
      <c r="H12" s="184">
        <f>+C12-I12</f>
        <v>-5443.5000000000073</v>
      </c>
      <c r="I12" s="230">
        <v>-32934.159999999996</v>
      </c>
      <c r="J12" s="374">
        <f>R12-C12</f>
        <v>-31622.339999999997</v>
      </c>
      <c r="K12" s="374">
        <f>SUM(Z12:AD12)</f>
        <v>-29166.666666666664</v>
      </c>
      <c r="L12" s="374">
        <f>K12-J12</f>
        <v>2455.6733333333323</v>
      </c>
      <c r="M12" s="374">
        <v>-31622</v>
      </c>
      <c r="N12" s="393">
        <f>C12+M12</f>
        <v>-69999.66</v>
      </c>
      <c r="O12" s="393">
        <f>R12-N12</f>
        <v>-0.33999999999650754</v>
      </c>
      <c r="P12" s="371"/>
      <c r="Q12" s="264" t="s">
        <v>928</v>
      </c>
      <c r="R12" s="256">
        <v>-70000</v>
      </c>
      <c r="S12" s="212">
        <f t="shared" ref="S12:AD12" si="3">$R12/12</f>
        <v>-5833.333333333333</v>
      </c>
      <c r="T12" s="212">
        <f t="shared" si="3"/>
        <v>-5833.333333333333</v>
      </c>
      <c r="U12" s="212">
        <f t="shared" si="3"/>
        <v>-5833.333333333333</v>
      </c>
      <c r="V12" s="212">
        <f t="shared" si="3"/>
        <v>-5833.333333333333</v>
      </c>
      <c r="W12" s="212">
        <f t="shared" si="3"/>
        <v>-5833.333333333333</v>
      </c>
      <c r="X12" s="212">
        <f t="shared" si="3"/>
        <v>-5833.333333333333</v>
      </c>
      <c r="Y12" s="212">
        <f t="shared" si="3"/>
        <v>-5833.333333333333</v>
      </c>
      <c r="Z12" s="212">
        <f t="shared" si="3"/>
        <v>-5833.333333333333</v>
      </c>
      <c r="AA12" s="212">
        <f t="shared" si="3"/>
        <v>-5833.333333333333</v>
      </c>
      <c r="AB12" s="212">
        <f t="shared" si="3"/>
        <v>-5833.333333333333</v>
      </c>
      <c r="AC12" s="212">
        <f t="shared" si="3"/>
        <v>-5833.333333333333</v>
      </c>
      <c r="AD12" s="212">
        <f t="shared" si="3"/>
        <v>-5833.333333333333</v>
      </c>
      <c r="AE12" s="204">
        <f>SUM(S12:AD12)</f>
        <v>-70000.000000000015</v>
      </c>
      <c r="AF12" s="247" t="b">
        <f>AE12=R12</f>
        <v>1</v>
      </c>
      <c r="AG12" s="89"/>
    </row>
    <row r="13" spans="1:33" ht="14.25" customHeight="1" x14ac:dyDescent="0.2">
      <c r="B13" s="238"/>
      <c r="C13" s="343"/>
      <c r="D13" s="330"/>
      <c r="E13" s="345"/>
      <c r="F13" s="344"/>
      <c r="G13" s="241"/>
      <c r="H13" s="182"/>
      <c r="I13" s="183"/>
      <c r="J13" s="376"/>
      <c r="K13" s="376"/>
      <c r="L13" s="376"/>
      <c r="M13" s="376"/>
      <c r="N13" s="376"/>
      <c r="O13" s="376"/>
      <c r="P13" s="220"/>
      <c r="Q13" s="266"/>
      <c r="R13" s="255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04"/>
      <c r="AF13" s="246"/>
      <c r="AG13" s="89"/>
    </row>
    <row r="14" spans="1:33" ht="12.75" customHeight="1" x14ac:dyDescent="0.2">
      <c r="B14" s="238" t="s">
        <v>1032</v>
      </c>
      <c r="C14" s="343"/>
      <c r="D14" s="330"/>
      <c r="E14" s="345"/>
      <c r="F14" s="344"/>
      <c r="G14" s="241"/>
      <c r="H14" s="182"/>
      <c r="I14" s="183"/>
      <c r="J14" s="376"/>
      <c r="K14" s="376"/>
      <c r="L14" s="376"/>
      <c r="M14" s="376"/>
      <c r="N14" s="376"/>
      <c r="O14" s="376"/>
      <c r="P14" s="220"/>
      <c r="Q14" s="266"/>
      <c r="R14" s="255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04"/>
      <c r="AF14" s="246"/>
      <c r="AG14" s="89"/>
    </row>
    <row r="15" spans="1:33" ht="12.75" customHeight="1" x14ac:dyDescent="0.2">
      <c r="B15" s="237" t="s">
        <v>784</v>
      </c>
      <c r="C15" s="329">
        <f>-TB!D65-TB!D71</f>
        <v>-10825.600000000002</v>
      </c>
      <c r="D15" s="330">
        <f>+C15-F15</f>
        <v>-7908.9300000000021</v>
      </c>
      <c r="E15" s="332">
        <f>IFERROR(ROUND((D15/ABS(F15))*100,0),0)</f>
        <v>-271</v>
      </c>
      <c r="F15" s="331">
        <f>ROUND(SUMIF($S$5:$AD$5,"&lt;="&amp;$B$3,S15:AD15),2)</f>
        <v>-2916.67</v>
      </c>
      <c r="G15" s="235">
        <v>-5000</v>
      </c>
      <c r="H15" s="184">
        <f>+C15-I15</f>
        <v>-4347.9300000000021</v>
      </c>
      <c r="I15" s="230">
        <v>-6477.67</v>
      </c>
      <c r="J15" s="422">
        <f>R15-C15</f>
        <v>5825.6000000000022</v>
      </c>
      <c r="K15" s="374">
        <f>SUM(Z15:AD15)</f>
        <v>-2083.3333333333335</v>
      </c>
      <c r="L15" s="374">
        <f>K15-J15</f>
        <v>-7908.9333333333361</v>
      </c>
      <c r="M15" s="376">
        <v>-4174</v>
      </c>
      <c r="N15" s="393">
        <f>C15+M15</f>
        <v>-14999.600000000002</v>
      </c>
      <c r="O15" s="393">
        <f>R15-N15</f>
        <v>9999.6000000000022</v>
      </c>
      <c r="P15" s="220"/>
      <c r="Q15" s="264" t="s">
        <v>784</v>
      </c>
      <c r="R15" s="256">
        <v>-5000</v>
      </c>
      <c r="S15" s="212">
        <f t="shared" ref="S15:AD16" si="4">$R15/12</f>
        <v>-416.66666666666669</v>
      </c>
      <c r="T15" s="212">
        <f t="shared" si="4"/>
        <v>-416.66666666666669</v>
      </c>
      <c r="U15" s="212">
        <f t="shared" si="4"/>
        <v>-416.66666666666669</v>
      </c>
      <c r="V15" s="212">
        <f t="shared" si="4"/>
        <v>-416.66666666666669</v>
      </c>
      <c r="W15" s="212">
        <f t="shared" si="4"/>
        <v>-416.66666666666669</v>
      </c>
      <c r="X15" s="212">
        <f t="shared" si="4"/>
        <v>-416.66666666666669</v>
      </c>
      <c r="Y15" s="212">
        <f t="shared" si="4"/>
        <v>-416.66666666666669</v>
      </c>
      <c r="Z15" s="212">
        <f t="shared" si="4"/>
        <v>-416.66666666666669</v>
      </c>
      <c r="AA15" s="212">
        <f t="shared" si="4"/>
        <v>-416.66666666666669</v>
      </c>
      <c r="AB15" s="212">
        <f t="shared" si="4"/>
        <v>-416.66666666666669</v>
      </c>
      <c r="AC15" s="212">
        <f t="shared" si="4"/>
        <v>-416.66666666666669</v>
      </c>
      <c r="AD15" s="212">
        <f t="shared" si="4"/>
        <v>-416.66666666666669</v>
      </c>
      <c r="AE15" s="204">
        <f>SUM(S15:AD15)</f>
        <v>-5000</v>
      </c>
      <c r="AF15" s="246" t="b">
        <f>AE15=R15</f>
        <v>1</v>
      </c>
      <c r="AG15" s="89"/>
    </row>
    <row r="16" spans="1:33" ht="12.75" customHeight="1" x14ac:dyDescent="0.2">
      <c r="B16" s="237" t="s">
        <v>971</v>
      </c>
      <c r="C16" s="329">
        <f>-TB!D74</f>
        <v>-34419</v>
      </c>
      <c r="D16" s="330">
        <f>+C16-F16</f>
        <v>-5252.3300000000017</v>
      </c>
      <c r="E16" s="332">
        <f>IFERROR(ROUND((D16/ABS(F16))*100,0),0)</f>
        <v>-18</v>
      </c>
      <c r="F16" s="331">
        <f>ROUND(SUMIF($S$5:$AD$5,"&lt;="&amp;$B$3,S16:AD16),2)</f>
        <v>-29166.67</v>
      </c>
      <c r="G16" s="235">
        <v>-50000</v>
      </c>
      <c r="H16" s="184">
        <f>+C16-I16</f>
        <v>-9419</v>
      </c>
      <c r="I16" s="230">
        <v>-25000</v>
      </c>
      <c r="J16" s="374">
        <f>R16-C16</f>
        <v>-15581</v>
      </c>
      <c r="K16" s="374">
        <f>SUM(Z16:AD16)</f>
        <v>-20833.333333333336</v>
      </c>
      <c r="L16" s="374">
        <f>K16-J16</f>
        <v>-5252.3333333333358</v>
      </c>
      <c r="M16" s="374">
        <v>-15581</v>
      </c>
      <c r="N16" s="393">
        <f>C16+M16</f>
        <v>-50000</v>
      </c>
      <c r="O16" s="393">
        <f>R16-N16</f>
        <v>0</v>
      </c>
      <c r="P16" s="220"/>
      <c r="Q16" s="264" t="s">
        <v>971</v>
      </c>
      <c r="R16" s="256">
        <v>-50000</v>
      </c>
      <c r="S16" s="212">
        <f t="shared" si="4"/>
        <v>-4166.666666666667</v>
      </c>
      <c r="T16" s="212">
        <f t="shared" si="4"/>
        <v>-4166.666666666667</v>
      </c>
      <c r="U16" s="212">
        <f t="shared" si="4"/>
        <v>-4166.666666666667</v>
      </c>
      <c r="V16" s="212">
        <f t="shared" si="4"/>
        <v>-4166.666666666667</v>
      </c>
      <c r="W16" s="212">
        <f t="shared" si="4"/>
        <v>-4166.666666666667</v>
      </c>
      <c r="X16" s="212">
        <f t="shared" si="4"/>
        <v>-4166.666666666667</v>
      </c>
      <c r="Y16" s="212">
        <f t="shared" si="4"/>
        <v>-4166.666666666667</v>
      </c>
      <c r="Z16" s="212">
        <f t="shared" si="4"/>
        <v>-4166.666666666667</v>
      </c>
      <c r="AA16" s="212">
        <f t="shared" si="4"/>
        <v>-4166.666666666667</v>
      </c>
      <c r="AB16" s="212">
        <f t="shared" si="4"/>
        <v>-4166.666666666667</v>
      </c>
      <c r="AC16" s="212">
        <f t="shared" si="4"/>
        <v>-4166.666666666667</v>
      </c>
      <c r="AD16" s="212">
        <f t="shared" si="4"/>
        <v>-4166.666666666667</v>
      </c>
      <c r="AE16" s="204">
        <f>SUM(S16:AD16)</f>
        <v>-49999.999999999993</v>
      </c>
      <c r="AF16" s="246" t="b">
        <f>AE16=R16</f>
        <v>1</v>
      </c>
      <c r="AG16" s="89"/>
    </row>
    <row r="17" spans="1:33" ht="12" customHeight="1" x14ac:dyDescent="0.2">
      <c r="B17" s="238"/>
      <c r="C17" s="343"/>
      <c r="D17" s="330"/>
      <c r="E17" s="345"/>
      <c r="F17" s="344"/>
      <c r="G17" s="241"/>
      <c r="H17" s="182"/>
      <c r="I17" s="183"/>
      <c r="J17" s="376"/>
      <c r="K17" s="376"/>
      <c r="L17" s="376"/>
      <c r="M17" s="376"/>
      <c r="N17" s="376"/>
      <c r="O17" s="376"/>
      <c r="P17" s="220"/>
      <c r="Q17" s="266"/>
      <c r="R17" s="255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04"/>
      <c r="AF17" s="246"/>
      <c r="AG17" s="89"/>
    </row>
    <row r="18" spans="1:33" ht="12.75" customHeight="1" x14ac:dyDescent="0.2">
      <c r="B18" s="238" t="s">
        <v>739</v>
      </c>
      <c r="C18" s="343"/>
      <c r="D18" s="330"/>
      <c r="E18" s="345"/>
      <c r="F18" s="344"/>
      <c r="G18" s="241"/>
      <c r="H18" s="182"/>
      <c r="I18" s="183"/>
      <c r="J18" s="376"/>
      <c r="K18" s="376"/>
      <c r="L18" s="376"/>
      <c r="M18" s="376"/>
      <c r="N18" s="376"/>
      <c r="O18" s="376"/>
      <c r="P18" s="220"/>
      <c r="Q18" s="266"/>
      <c r="R18" s="255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04"/>
      <c r="AF18" s="246"/>
      <c r="AG18" s="89"/>
    </row>
    <row r="19" spans="1:33" ht="12.75" customHeight="1" x14ac:dyDescent="0.2">
      <c r="B19" s="237" t="s">
        <v>819</v>
      </c>
      <c r="C19" s="329">
        <f>-TB!D108</f>
        <v>-40380.5</v>
      </c>
      <c r="D19" s="330">
        <f>+C19-F19</f>
        <v>-2463.8300000000017</v>
      </c>
      <c r="E19" s="332">
        <f>IFERROR(ROUND((D19/ABS(F19))*100,0),0)</f>
        <v>-6</v>
      </c>
      <c r="F19" s="331">
        <f>ROUND(SUMIF($S$5:$AD$5,"&lt;="&amp;$B$3,S19:AD19),2)</f>
        <v>-37916.67</v>
      </c>
      <c r="G19" s="235">
        <v>-65000</v>
      </c>
      <c r="H19" s="184">
        <f>+C19-I19</f>
        <v>35780.410000000003</v>
      </c>
      <c r="I19" s="230">
        <v>-76160.91</v>
      </c>
      <c r="J19" s="374">
        <f>R19-C19</f>
        <v>-24619.5</v>
      </c>
      <c r="K19" s="374">
        <f>SUM(Z19:AD19)</f>
        <v>-27083.333333333336</v>
      </c>
      <c r="L19" s="374">
        <f>K19-J19</f>
        <v>-2463.8333333333358</v>
      </c>
      <c r="M19" s="374">
        <v>-24619</v>
      </c>
      <c r="N19" s="393">
        <f>C19+M19</f>
        <v>-64999.5</v>
      </c>
      <c r="O19" s="393">
        <f>R19-N19</f>
        <v>-0.5</v>
      </c>
      <c r="P19" s="220"/>
      <c r="Q19" s="264" t="s">
        <v>819</v>
      </c>
      <c r="R19" s="256">
        <v>-65000</v>
      </c>
      <c r="S19" s="212">
        <f t="shared" ref="S19:AD21" si="5">$R19/12</f>
        <v>-5416.666666666667</v>
      </c>
      <c r="T19" s="212">
        <f t="shared" si="5"/>
        <v>-5416.666666666667</v>
      </c>
      <c r="U19" s="212">
        <f t="shared" si="5"/>
        <v>-5416.666666666667</v>
      </c>
      <c r="V19" s="212">
        <f t="shared" si="5"/>
        <v>-5416.666666666667</v>
      </c>
      <c r="W19" s="212">
        <f t="shared" si="5"/>
        <v>-5416.666666666667</v>
      </c>
      <c r="X19" s="212">
        <f t="shared" si="5"/>
        <v>-5416.666666666667</v>
      </c>
      <c r="Y19" s="212">
        <f t="shared" si="5"/>
        <v>-5416.666666666667</v>
      </c>
      <c r="Z19" s="212">
        <f t="shared" si="5"/>
        <v>-5416.666666666667</v>
      </c>
      <c r="AA19" s="212">
        <f t="shared" si="5"/>
        <v>-5416.666666666667</v>
      </c>
      <c r="AB19" s="212">
        <f t="shared" si="5"/>
        <v>-5416.666666666667</v>
      </c>
      <c r="AC19" s="212">
        <f t="shared" si="5"/>
        <v>-5416.666666666667</v>
      </c>
      <c r="AD19" s="212">
        <f t="shared" si="5"/>
        <v>-5416.666666666667</v>
      </c>
      <c r="AE19" s="204">
        <f>SUM(S19:AD19)</f>
        <v>-64999.999999999993</v>
      </c>
      <c r="AF19" s="246" t="b">
        <f>AE19=R19</f>
        <v>1</v>
      </c>
      <c r="AG19" s="89"/>
    </row>
    <row r="20" spans="1:33" ht="12.75" customHeight="1" x14ac:dyDescent="0.2">
      <c r="B20" s="237" t="s">
        <v>820</v>
      </c>
      <c r="C20" s="329">
        <f>-TB!D109</f>
        <v>-4456.16</v>
      </c>
      <c r="D20" s="330">
        <f>+C20-F20</f>
        <v>2543.84</v>
      </c>
      <c r="E20" s="332">
        <f>IFERROR(ROUND((D20/ABS(F20))*100,0),0)</f>
        <v>36</v>
      </c>
      <c r="F20" s="331">
        <f>ROUND(SUMIF($S$5:$AD$5,"&lt;="&amp;$B$3,S20:AD20),2)</f>
        <v>-7000</v>
      </c>
      <c r="G20" s="235">
        <v>-12000</v>
      </c>
      <c r="H20" s="184">
        <f>+C20-I20</f>
        <v>4543.84</v>
      </c>
      <c r="I20" s="230">
        <v>-9000</v>
      </c>
      <c r="J20" s="374">
        <f>R20-C20</f>
        <v>-7543.84</v>
      </c>
      <c r="K20" s="374">
        <f t="shared" ref="K20:K22" si="6">SUM(Z20:AD20)</f>
        <v>-5000</v>
      </c>
      <c r="L20" s="374">
        <f>K20-J20</f>
        <v>2543.84</v>
      </c>
      <c r="M20" s="374">
        <v>-7544</v>
      </c>
      <c r="N20" s="393">
        <f>C20+M20</f>
        <v>-12000.16</v>
      </c>
      <c r="O20" s="393">
        <f>R20-N20</f>
        <v>0.15999999999985448</v>
      </c>
      <c r="P20" s="220"/>
      <c r="Q20" s="264" t="s">
        <v>820</v>
      </c>
      <c r="R20" s="256">
        <v>-12000</v>
      </c>
      <c r="S20" s="212">
        <f t="shared" si="5"/>
        <v>-1000</v>
      </c>
      <c r="T20" s="212">
        <f t="shared" si="5"/>
        <v>-1000</v>
      </c>
      <c r="U20" s="212">
        <f t="shared" si="5"/>
        <v>-1000</v>
      </c>
      <c r="V20" s="212">
        <f t="shared" si="5"/>
        <v>-1000</v>
      </c>
      <c r="W20" s="212">
        <f t="shared" si="5"/>
        <v>-1000</v>
      </c>
      <c r="X20" s="212">
        <f t="shared" si="5"/>
        <v>-1000</v>
      </c>
      <c r="Y20" s="212">
        <f t="shared" si="5"/>
        <v>-1000</v>
      </c>
      <c r="Z20" s="212">
        <f t="shared" si="5"/>
        <v>-1000</v>
      </c>
      <c r="AA20" s="212">
        <f t="shared" si="5"/>
        <v>-1000</v>
      </c>
      <c r="AB20" s="212">
        <f t="shared" si="5"/>
        <v>-1000</v>
      </c>
      <c r="AC20" s="212">
        <f t="shared" si="5"/>
        <v>-1000</v>
      </c>
      <c r="AD20" s="212">
        <f t="shared" si="5"/>
        <v>-1000</v>
      </c>
      <c r="AE20" s="204">
        <f>SUM(S20:AD20)</f>
        <v>-12000</v>
      </c>
      <c r="AF20" s="246" t="b">
        <f>AE20=R20</f>
        <v>1</v>
      </c>
      <c r="AG20" s="89"/>
    </row>
    <row r="21" spans="1:33" ht="12.75" customHeight="1" x14ac:dyDescent="0.2">
      <c r="B21" s="237" t="s">
        <v>776</v>
      </c>
      <c r="C21" s="329">
        <f>-TB!D105</f>
        <v>-11728.63</v>
      </c>
      <c r="D21" s="330">
        <f>+C21-F21</f>
        <v>1104.7000000000007</v>
      </c>
      <c r="E21" s="332">
        <f>IFERROR(ROUND((D21/ABS(F21))*100,0),0)</f>
        <v>9</v>
      </c>
      <c r="F21" s="331">
        <f>ROUND(SUMIF($S$5:$AD$5,"&lt;="&amp;$B$3,S21:AD21),2)</f>
        <v>-12833.33</v>
      </c>
      <c r="G21" s="235">
        <v>-22000</v>
      </c>
      <c r="H21" s="184">
        <f>+C21-I21</f>
        <v>3436.130000000001</v>
      </c>
      <c r="I21" s="230">
        <v>-15164.76</v>
      </c>
      <c r="J21" s="374">
        <f>R21-C21</f>
        <v>-10271.370000000001</v>
      </c>
      <c r="K21" s="374">
        <f t="shared" si="6"/>
        <v>-9166.6666666666661</v>
      </c>
      <c r="L21" s="374">
        <f>K21-J21</f>
        <v>1104.7033333333347</v>
      </c>
      <c r="M21" s="374">
        <v>-10271</v>
      </c>
      <c r="N21" s="393">
        <f>C21+M21</f>
        <v>-21999.629999999997</v>
      </c>
      <c r="O21" s="393">
        <f>R21-N21</f>
        <v>-0.37000000000261934</v>
      </c>
      <c r="P21" s="220"/>
      <c r="Q21" s="264" t="s">
        <v>776</v>
      </c>
      <c r="R21" s="256">
        <v>-22000</v>
      </c>
      <c r="S21" s="212">
        <f t="shared" si="5"/>
        <v>-1833.3333333333333</v>
      </c>
      <c r="T21" s="212">
        <f t="shared" si="5"/>
        <v>-1833.3333333333333</v>
      </c>
      <c r="U21" s="212">
        <f t="shared" si="5"/>
        <v>-1833.3333333333333</v>
      </c>
      <c r="V21" s="212">
        <f t="shared" si="5"/>
        <v>-1833.3333333333333</v>
      </c>
      <c r="W21" s="212">
        <f t="shared" si="5"/>
        <v>-1833.3333333333333</v>
      </c>
      <c r="X21" s="212">
        <f t="shared" si="5"/>
        <v>-1833.3333333333333</v>
      </c>
      <c r="Y21" s="212">
        <f t="shared" si="5"/>
        <v>-1833.3333333333333</v>
      </c>
      <c r="Z21" s="212">
        <f t="shared" si="5"/>
        <v>-1833.3333333333333</v>
      </c>
      <c r="AA21" s="212">
        <f t="shared" si="5"/>
        <v>-1833.3333333333333</v>
      </c>
      <c r="AB21" s="212">
        <f t="shared" si="5"/>
        <v>-1833.3333333333333</v>
      </c>
      <c r="AC21" s="212">
        <f t="shared" si="5"/>
        <v>-1833.3333333333333</v>
      </c>
      <c r="AD21" s="212">
        <f t="shared" si="5"/>
        <v>-1833.3333333333333</v>
      </c>
      <c r="AE21" s="204">
        <f>SUM(S21:AD21)</f>
        <v>-21999.999999999996</v>
      </c>
      <c r="AF21" s="246" t="b">
        <f>AE21=R21</f>
        <v>1</v>
      </c>
      <c r="AG21" s="89"/>
    </row>
    <row r="22" spans="1:33" ht="12.75" customHeight="1" x14ac:dyDescent="0.2">
      <c r="B22" s="237" t="s">
        <v>1040</v>
      </c>
      <c r="C22" s="329">
        <f>T22*C2</f>
        <v>-16041.666666666666</v>
      </c>
      <c r="D22" s="330">
        <f>+C22-F22</f>
        <v>3.3333333340124227E-3</v>
      </c>
      <c r="E22" s="332"/>
      <c r="F22" s="331">
        <f>ROUND(SUMIF($S$5:$AD$5,"&lt;="&amp;$B$3,S22:AD22),2)</f>
        <v>-16041.67</v>
      </c>
      <c r="G22" s="235">
        <f>R22</f>
        <v>-27500</v>
      </c>
      <c r="H22" s="184"/>
      <c r="I22" s="230"/>
      <c r="J22" s="374">
        <f>R22-C22</f>
        <v>-11458.333333333334</v>
      </c>
      <c r="K22" s="374">
        <f t="shared" si="6"/>
        <v>-11458.333333333332</v>
      </c>
      <c r="L22" s="374">
        <f>K22-J22</f>
        <v>0</v>
      </c>
      <c r="M22" s="374">
        <v>-11458</v>
      </c>
      <c r="N22" s="393">
        <f>C22+M22</f>
        <v>-27499.666666666664</v>
      </c>
      <c r="O22" s="393">
        <f>R22-N22</f>
        <v>-0.33333333333575865</v>
      </c>
      <c r="P22" s="220"/>
      <c r="Q22" s="264" t="s">
        <v>1040</v>
      </c>
      <c r="R22" s="256">
        <v>-27500</v>
      </c>
      <c r="S22" s="212">
        <f>R22/12</f>
        <v>-2291.6666666666665</v>
      </c>
      <c r="T22" s="212">
        <f t="shared" ref="T22:AD22" si="7">$R22/12</f>
        <v>-2291.6666666666665</v>
      </c>
      <c r="U22" s="212">
        <f t="shared" si="7"/>
        <v>-2291.6666666666665</v>
      </c>
      <c r="V22" s="212">
        <f t="shared" si="7"/>
        <v>-2291.6666666666665</v>
      </c>
      <c r="W22" s="212">
        <f t="shared" si="7"/>
        <v>-2291.6666666666665</v>
      </c>
      <c r="X22" s="212">
        <f t="shared" si="7"/>
        <v>-2291.6666666666665</v>
      </c>
      <c r="Y22" s="212">
        <f t="shared" si="7"/>
        <v>-2291.6666666666665</v>
      </c>
      <c r="Z22" s="212">
        <f t="shared" si="7"/>
        <v>-2291.6666666666665</v>
      </c>
      <c r="AA22" s="212">
        <f t="shared" si="7"/>
        <v>-2291.6666666666665</v>
      </c>
      <c r="AB22" s="212">
        <f t="shared" si="7"/>
        <v>-2291.6666666666665</v>
      </c>
      <c r="AC22" s="212">
        <f t="shared" si="7"/>
        <v>-2291.6666666666665</v>
      </c>
      <c r="AD22" s="212">
        <f t="shared" si="7"/>
        <v>-2291.6666666666665</v>
      </c>
      <c r="AE22" s="204">
        <f>SUM(S22:AD22)</f>
        <v>-27500.000000000004</v>
      </c>
      <c r="AF22" s="246" t="b">
        <f>AE22=R22</f>
        <v>1</v>
      </c>
      <c r="AG22" s="89"/>
    </row>
    <row r="23" spans="1:33" ht="12.75" customHeight="1" thickBot="1" x14ac:dyDescent="0.25">
      <c r="B23" s="305" t="s">
        <v>1046</v>
      </c>
      <c r="C23" s="346">
        <f>SUM(C12:C22)</f>
        <v>-156229.21666666667</v>
      </c>
      <c r="D23" s="347">
        <f>+C23-F23</f>
        <v>-9520.8766666666779</v>
      </c>
      <c r="E23" s="346">
        <f>SUM(E12:E22)</f>
        <v>-244</v>
      </c>
      <c r="F23" s="348">
        <f>SUM(F12:F22)</f>
        <v>-146708.34</v>
      </c>
      <c r="G23" s="386">
        <f>SUM(G12:G22)</f>
        <v>-251500</v>
      </c>
      <c r="H23" s="387"/>
      <c r="I23" s="388"/>
      <c r="J23" s="348">
        <f>SUM(J12:J22)</f>
        <v>-95270.783333333311</v>
      </c>
      <c r="K23" s="348">
        <f>SUM(K12:K22)</f>
        <v>-104791.66666666666</v>
      </c>
      <c r="L23" s="348">
        <f>SUM(L12:L22)</f>
        <v>-9520.8833333333405</v>
      </c>
      <c r="M23" s="348">
        <f>SUM(M12:M22)</f>
        <v>-105269</v>
      </c>
      <c r="N23" s="348">
        <f>SUM(N12:N22)</f>
        <v>-261498.21666666667</v>
      </c>
      <c r="O23" s="348">
        <f>R23-N23</f>
        <v>9998.2166666666744</v>
      </c>
      <c r="P23" s="220"/>
      <c r="Q23" s="306" t="s">
        <v>1046</v>
      </c>
      <c r="R23" s="307">
        <f>SUM(R12:R22)</f>
        <v>-251500</v>
      </c>
      <c r="S23" s="307">
        <f t="shared" ref="S23:AE23" si="8">SUM(S12:S22)</f>
        <v>-20958.333333333336</v>
      </c>
      <c r="T23" s="307">
        <f t="shared" si="8"/>
        <v>-20958.333333333336</v>
      </c>
      <c r="U23" s="307">
        <f t="shared" si="8"/>
        <v>-20958.333333333336</v>
      </c>
      <c r="V23" s="307">
        <f t="shared" si="8"/>
        <v>-20958.333333333336</v>
      </c>
      <c r="W23" s="307">
        <f t="shared" si="8"/>
        <v>-20958.333333333336</v>
      </c>
      <c r="X23" s="307">
        <f t="shared" si="8"/>
        <v>-20958.333333333336</v>
      </c>
      <c r="Y23" s="307">
        <f t="shared" si="8"/>
        <v>-20958.333333333336</v>
      </c>
      <c r="Z23" s="307">
        <f t="shared" si="8"/>
        <v>-20958.333333333336</v>
      </c>
      <c r="AA23" s="307">
        <f t="shared" si="8"/>
        <v>-20958.333333333336</v>
      </c>
      <c r="AB23" s="307">
        <f t="shared" si="8"/>
        <v>-20958.333333333336</v>
      </c>
      <c r="AC23" s="307">
        <f t="shared" si="8"/>
        <v>-20958.333333333336</v>
      </c>
      <c r="AD23" s="307">
        <f t="shared" si="8"/>
        <v>-20958.333333333336</v>
      </c>
      <c r="AE23" s="307">
        <f t="shared" si="8"/>
        <v>-251500</v>
      </c>
      <c r="AF23" s="308" t="b">
        <f>AE23=R23</f>
        <v>1</v>
      </c>
      <c r="AG23" s="89"/>
    </row>
    <row r="24" spans="1:33" s="194" customFormat="1" ht="21.75" customHeight="1" thickBot="1" x14ac:dyDescent="0.35">
      <c r="A24" s="203"/>
      <c r="B24" s="410"/>
      <c r="C24" s="349"/>
      <c r="D24" s="349"/>
      <c r="E24" s="349"/>
      <c r="F24" s="380"/>
      <c r="G24" s="389"/>
      <c r="H24" s="278"/>
      <c r="I24" s="390"/>
      <c r="J24" s="380"/>
      <c r="K24" s="380"/>
      <c r="L24" s="380"/>
      <c r="M24" s="380"/>
      <c r="N24" s="380"/>
      <c r="O24" s="380"/>
      <c r="P24" s="219"/>
      <c r="Q24" s="299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408"/>
      <c r="AG24" s="283"/>
    </row>
    <row r="25" spans="1:33" ht="12.75" customHeight="1" thickBot="1" x14ac:dyDescent="0.25">
      <c r="B25" s="315" t="s">
        <v>1047</v>
      </c>
      <c r="C25" s="321">
        <f>C8+C23</f>
        <v>75359.193333333329</v>
      </c>
      <c r="D25" s="321">
        <f>+C25-F25</f>
        <v>17900.863333333313</v>
      </c>
      <c r="E25" s="321"/>
      <c r="F25" s="321">
        <f>F8+F23</f>
        <v>57458.330000000016</v>
      </c>
      <c r="G25" s="272"/>
      <c r="H25" s="392"/>
      <c r="I25" s="392"/>
      <c r="J25" s="378">
        <f>J8+J23</f>
        <v>23140.806666666685</v>
      </c>
      <c r="K25" s="378">
        <f>K8+K23</f>
        <v>41041.666666666686</v>
      </c>
      <c r="L25" s="378">
        <f t="shared" ref="L25:M25" si="9">L8+L23</f>
        <v>17900.860000000008</v>
      </c>
      <c r="M25" s="378">
        <f t="shared" si="9"/>
        <v>23143</v>
      </c>
      <c r="N25" s="378">
        <f t="shared" ref="N25:O25" si="10">N8+N23</f>
        <v>98502.193333333358</v>
      </c>
      <c r="O25" s="378">
        <f t="shared" si="10"/>
        <v>-2.1933333333581686</v>
      </c>
      <c r="P25" s="201"/>
      <c r="Q25" s="273" t="s">
        <v>1047</v>
      </c>
      <c r="R25" s="271">
        <f>+R8+R23</f>
        <v>98500</v>
      </c>
      <c r="S25" s="271">
        <f t="shared" ref="S25:AE25" si="11">+S8+S23</f>
        <v>8208.3333333333321</v>
      </c>
      <c r="T25" s="271">
        <f t="shared" si="11"/>
        <v>8208.3333333333321</v>
      </c>
      <c r="U25" s="271">
        <f t="shared" si="11"/>
        <v>8208.3333333333321</v>
      </c>
      <c r="V25" s="271">
        <f t="shared" si="11"/>
        <v>8208.3333333333321</v>
      </c>
      <c r="W25" s="271">
        <f t="shared" si="11"/>
        <v>8208.3333333333321</v>
      </c>
      <c r="X25" s="271">
        <f t="shared" si="11"/>
        <v>8208.3333333333321</v>
      </c>
      <c r="Y25" s="271">
        <f t="shared" si="11"/>
        <v>8208.3333333333321</v>
      </c>
      <c r="Z25" s="271">
        <f t="shared" si="11"/>
        <v>8208.3333333333321</v>
      </c>
      <c r="AA25" s="271">
        <f t="shared" si="11"/>
        <v>8208.3333333333321</v>
      </c>
      <c r="AB25" s="271">
        <f t="shared" si="11"/>
        <v>8208.3333333333321</v>
      </c>
      <c r="AC25" s="271">
        <f t="shared" si="11"/>
        <v>8208.3333333333321</v>
      </c>
      <c r="AD25" s="271">
        <f t="shared" si="11"/>
        <v>8208.3333333333321</v>
      </c>
      <c r="AE25" s="271">
        <f t="shared" si="11"/>
        <v>98500.000000000058</v>
      </c>
      <c r="AF25" s="272"/>
      <c r="AG25" s="89"/>
    </row>
    <row r="26" spans="1:33" s="194" customFormat="1" ht="21.75" customHeight="1" thickBot="1" x14ac:dyDescent="0.35">
      <c r="A26" s="203"/>
      <c r="B26" s="382"/>
      <c r="C26" s="350"/>
      <c r="D26" s="350"/>
      <c r="E26" s="350"/>
      <c r="F26" s="380"/>
      <c r="G26" s="389"/>
      <c r="H26" s="278"/>
      <c r="I26" s="390"/>
      <c r="J26" s="391"/>
      <c r="K26" s="391"/>
      <c r="L26" s="391"/>
      <c r="M26" s="391"/>
      <c r="N26" s="391"/>
      <c r="O26" s="391"/>
      <c r="P26" s="219"/>
      <c r="Q26" s="382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01"/>
      <c r="AG26" s="283"/>
    </row>
    <row r="27" spans="1:33" s="194" customFormat="1" ht="21.75" customHeight="1" thickBot="1" x14ac:dyDescent="0.35">
      <c r="A27" s="203"/>
      <c r="B27" s="276" t="s">
        <v>1050</v>
      </c>
      <c r="C27" s="351"/>
      <c r="D27" s="351"/>
      <c r="E27" s="351"/>
      <c r="F27" s="383"/>
      <c r="G27" s="384"/>
      <c r="H27" s="198"/>
      <c r="I27" s="226"/>
      <c r="J27" s="385"/>
      <c r="K27" s="385"/>
      <c r="L27" s="385"/>
      <c r="M27" s="385"/>
      <c r="N27" s="385"/>
      <c r="O27" s="385"/>
      <c r="P27" s="381"/>
      <c r="Q27" s="276" t="s">
        <v>1050</v>
      </c>
      <c r="R27" s="271"/>
      <c r="S27" s="295"/>
      <c r="T27" s="295"/>
      <c r="U27" s="295"/>
      <c r="V27" s="295"/>
      <c r="W27" s="295"/>
      <c r="X27" s="295"/>
      <c r="Y27" s="295"/>
      <c r="Z27" s="296"/>
      <c r="AA27" s="295"/>
      <c r="AB27" s="295"/>
      <c r="AC27" s="295"/>
      <c r="AD27" s="295"/>
      <c r="AE27" s="295"/>
      <c r="AF27" s="297"/>
      <c r="AG27" s="193"/>
    </row>
    <row r="28" spans="1:33" ht="12.75" customHeight="1" x14ac:dyDescent="0.2">
      <c r="B28" s="232" t="s">
        <v>1022</v>
      </c>
      <c r="C28" s="339"/>
      <c r="D28" s="340"/>
      <c r="E28" s="342"/>
      <c r="F28" s="341"/>
      <c r="G28" s="277"/>
      <c r="H28" s="196"/>
      <c r="I28" s="227"/>
      <c r="J28" s="341"/>
      <c r="K28" s="341"/>
      <c r="L28" s="341"/>
      <c r="M28" s="341"/>
      <c r="N28" s="341"/>
      <c r="O28" s="341"/>
      <c r="P28" s="201"/>
      <c r="Q28" s="261" t="s">
        <v>1022</v>
      </c>
      <c r="R28" s="312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4"/>
      <c r="AF28" s="294"/>
      <c r="AG28" s="89"/>
    </row>
    <row r="29" spans="1:33" ht="12.75" customHeight="1" x14ac:dyDescent="0.2">
      <c r="B29" s="234" t="s">
        <v>782</v>
      </c>
      <c r="C29" s="329">
        <f>-TB!C36</f>
        <v>12</v>
      </c>
      <c r="D29" s="330">
        <f>+C29-F29</f>
        <v>12</v>
      </c>
      <c r="E29" s="332">
        <f>IFERROR(ROUND((D29/ABS(F29))*100,0),0)</f>
        <v>0</v>
      </c>
      <c r="F29" s="331">
        <f>ROUND(SUMIF($S$5:$AD$5,"&lt;="&amp;$B$3,S29:AD29),2)</f>
        <v>0</v>
      </c>
      <c r="G29" s="235">
        <v>0</v>
      </c>
      <c r="H29" s="184">
        <f>+C29-I29</f>
        <v>-488</v>
      </c>
      <c r="I29" s="228">
        <v>500</v>
      </c>
      <c r="J29" s="374">
        <f>R29-C29</f>
        <v>-12</v>
      </c>
      <c r="K29" s="374">
        <f>SUM(Z29:AD29)</f>
        <v>0</v>
      </c>
      <c r="L29" s="374">
        <f>K29-J29</f>
        <v>12</v>
      </c>
      <c r="M29" s="374">
        <v>0</v>
      </c>
      <c r="N29" s="393">
        <f>C29+M29</f>
        <v>12</v>
      </c>
      <c r="O29" s="393">
        <f t="shared" ref="O29:O34" si="12">R29-N29</f>
        <v>-12</v>
      </c>
      <c r="P29" s="201"/>
      <c r="Q29" s="262" t="s">
        <v>782</v>
      </c>
      <c r="R29" s="251">
        <v>0</v>
      </c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>
        <f t="shared" ref="AE29:AE41" si="13">SUM(S29:AD29)</f>
        <v>0</v>
      </c>
      <c r="AF29" s="245" t="b">
        <f t="shared" ref="AF29:AF43" si="14">AE29=R29</f>
        <v>1</v>
      </c>
      <c r="AG29" s="89"/>
    </row>
    <row r="30" spans="1:33" ht="12.75" customHeight="1" x14ac:dyDescent="0.2">
      <c r="B30" s="234" t="s">
        <v>929</v>
      </c>
      <c r="C30" s="329">
        <f>+C31+C32</f>
        <v>101739.43</v>
      </c>
      <c r="D30" s="330">
        <f t="shared" ref="D30:D33" si="15">+C30-F30</f>
        <v>615.63999999999942</v>
      </c>
      <c r="E30" s="332">
        <f>IFERROR(ROUND((D30/ABS(F30))*100,0),0)</f>
        <v>1</v>
      </c>
      <c r="F30" s="331">
        <f>ROUND(SUMIF($S$5:$AD$5,"&lt;="&amp;$B$3,S30:AD30),2)</f>
        <v>101123.79</v>
      </c>
      <c r="G30" s="235">
        <v>118000</v>
      </c>
      <c r="H30" s="184">
        <f>+C30-I30</f>
        <v>9793.429999999993</v>
      </c>
      <c r="I30" s="228">
        <v>91946</v>
      </c>
      <c r="J30" s="374">
        <f>R30-C30</f>
        <v>16260.570000000007</v>
      </c>
      <c r="K30" s="374">
        <f t="shared" ref="K30:K33" si="16">SUM(Z30:AD30)</f>
        <v>16876.21</v>
      </c>
      <c r="L30" s="374">
        <f>K30-J30</f>
        <v>615.63999999999214</v>
      </c>
      <c r="M30" s="374">
        <v>15789</v>
      </c>
      <c r="N30" s="393">
        <f>C30+M30</f>
        <v>117528.43</v>
      </c>
      <c r="O30" s="393">
        <f t="shared" si="12"/>
        <v>471.57000000000698</v>
      </c>
      <c r="P30" s="220"/>
      <c r="Q30" s="262" t="s">
        <v>929</v>
      </c>
      <c r="R30" s="251">
        <v>118000</v>
      </c>
      <c r="S30" s="204"/>
      <c r="T30" s="204">
        <f>SUM(T31:T32)</f>
        <v>73267.509999999995</v>
      </c>
      <c r="U30" s="204">
        <f t="shared" ref="U30:AD30" si="17">SUM(U31:U32)</f>
        <v>15425.71</v>
      </c>
      <c r="V30" s="204">
        <f t="shared" si="17"/>
        <v>1165.2</v>
      </c>
      <c r="W30" s="204">
        <f t="shared" si="17"/>
        <v>4212.13</v>
      </c>
      <c r="X30" s="204">
        <f t="shared" si="17"/>
        <v>3678</v>
      </c>
      <c r="Y30" s="204">
        <f t="shared" si="17"/>
        <v>3375.24</v>
      </c>
      <c r="Z30" s="204">
        <f t="shared" si="17"/>
        <v>3375.24</v>
      </c>
      <c r="AA30" s="204">
        <f t="shared" si="17"/>
        <v>3375.24</v>
      </c>
      <c r="AB30" s="204">
        <f t="shared" si="17"/>
        <v>3375.24</v>
      </c>
      <c r="AC30" s="204">
        <f t="shared" si="17"/>
        <v>3375.24</v>
      </c>
      <c r="AD30" s="204">
        <f t="shared" si="17"/>
        <v>3375.25</v>
      </c>
      <c r="AE30" s="204">
        <f t="shared" si="13"/>
        <v>118000.00000000003</v>
      </c>
      <c r="AF30" s="245" t="b">
        <f>AE30=R30</f>
        <v>1</v>
      </c>
      <c r="AG30" s="89"/>
    </row>
    <row r="31" spans="1:33" ht="12.75" customHeight="1" x14ac:dyDescent="0.2">
      <c r="B31" s="236" t="s">
        <v>957</v>
      </c>
      <c r="C31" s="329">
        <f>-TB!D33</f>
        <v>99651.17</v>
      </c>
      <c r="D31" s="330">
        <f t="shared" si="15"/>
        <v>1608.5299999999988</v>
      </c>
      <c r="E31" s="332">
        <f t="shared" ref="E31:E80" si="18">IFERROR(ROUND((D31/ABS(F31))*100,0),0)</f>
        <v>2</v>
      </c>
      <c r="F31" s="331">
        <f>ROUND(SUMIF($S$5:$AD$5,"&lt;="&amp;$B$3,S31:AD31),2)</f>
        <v>98042.64</v>
      </c>
      <c r="G31" s="235">
        <v>108000</v>
      </c>
      <c r="H31" s="197">
        <f>+C31-I31</f>
        <v>18738.690000000002</v>
      </c>
      <c r="I31" s="229">
        <v>80912.479999999996</v>
      </c>
      <c r="J31" s="374">
        <f>R31-C31</f>
        <v>8348.8300000000017</v>
      </c>
      <c r="K31" s="374">
        <f t="shared" si="16"/>
        <v>9957.36</v>
      </c>
      <c r="L31" s="374">
        <f>K31-J31</f>
        <v>1608.5299999999988</v>
      </c>
      <c r="M31" s="374">
        <v>9993</v>
      </c>
      <c r="N31" s="393">
        <f>C31+M31</f>
        <v>109644.17</v>
      </c>
      <c r="O31" s="393">
        <f t="shared" si="12"/>
        <v>-1644.1699999999983</v>
      </c>
      <c r="P31" s="221"/>
      <c r="Q31" s="263" t="s">
        <v>957</v>
      </c>
      <c r="R31" s="252">
        <v>108000</v>
      </c>
      <c r="S31" s="206">
        <f t="shared" ref="S31" si="19">S30*$N31</f>
        <v>0</v>
      </c>
      <c r="T31" s="206">
        <v>73267.509999999995</v>
      </c>
      <c r="U31" s="206">
        <v>13807.83</v>
      </c>
      <c r="V31" s="206">
        <v>1165.2</v>
      </c>
      <c r="W31" s="206">
        <v>4212.13</v>
      </c>
      <c r="X31" s="206">
        <v>3598.5</v>
      </c>
      <c r="Y31" s="206">
        <v>1991.47</v>
      </c>
      <c r="Z31" s="206">
        <v>1991.47</v>
      </c>
      <c r="AA31" s="206">
        <v>1991.47</v>
      </c>
      <c r="AB31" s="206">
        <v>1991.47</v>
      </c>
      <c r="AC31" s="206">
        <v>1991.47</v>
      </c>
      <c r="AD31" s="206">
        <v>1991.48</v>
      </c>
      <c r="AE31" s="204">
        <f t="shared" si="13"/>
        <v>108000</v>
      </c>
      <c r="AF31" s="245" t="b">
        <f t="shared" si="14"/>
        <v>1</v>
      </c>
      <c r="AG31" s="89"/>
    </row>
    <row r="32" spans="1:33" ht="12.75" customHeight="1" x14ac:dyDescent="0.2">
      <c r="B32" s="236" t="s">
        <v>958</v>
      </c>
      <c r="C32" s="329">
        <f>-TB!D35</f>
        <v>2088.2600000000002</v>
      </c>
      <c r="D32" s="330">
        <f t="shared" si="15"/>
        <v>-992.88999999999987</v>
      </c>
      <c r="E32" s="332">
        <f t="shared" si="18"/>
        <v>-32</v>
      </c>
      <c r="F32" s="331">
        <f>ROUND(SUMIF($S$5:$AD$5,"&lt;="&amp;$B$3,S32:AD32),2)</f>
        <v>3081.15</v>
      </c>
      <c r="G32" s="235">
        <v>10000</v>
      </c>
      <c r="H32" s="197">
        <f>+C32-I32</f>
        <v>-8945.26</v>
      </c>
      <c r="I32" s="229">
        <v>11033.52</v>
      </c>
      <c r="J32" s="374">
        <f>R32-C32</f>
        <v>7911.74</v>
      </c>
      <c r="K32" s="374">
        <f t="shared" si="16"/>
        <v>6918.85</v>
      </c>
      <c r="L32" s="374">
        <f>K32-J32</f>
        <v>-992.88999999999942</v>
      </c>
      <c r="M32" s="374">
        <v>5796</v>
      </c>
      <c r="N32" s="393">
        <f>C32+M32</f>
        <v>7884.26</v>
      </c>
      <c r="O32" s="393">
        <f t="shared" si="12"/>
        <v>2115.7399999999998</v>
      </c>
      <c r="P32" s="221"/>
      <c r="Q32" s="263" t="s">
        <v>958</v>
      </c>
      <c r="R32" s="252">
        <v>10000</v>
      </c>
      <c r="S32" s="206">
        <f>S$30*$N32</f>
        <v>0</v>
      </c>
      <c r="T32" s="206"/>
      <c r="U32" s="206">
        <v>1617.88</v>
      </c>
      <c r="V32" s="206"/>
      <c r="W32" s="206"/>
      <c r="X32" s="206">
        <v>79.5</v>
      </c>
      <c r="Y32" s="206">
        <v>1383.77</v>
      </c>
      <c r="Z32" s="206">
        <v>1383.77</v>
      </c>
      <c r="AA32" s="206">
        <v>1383.77</v>
      </c>
      <c r="AB32" s="206">
        <v>1383.77</v>
      </c>
      <c r="AC32" s="206">
        <v>1383.77</v>
      </c>
      <c r="AD32" s="206">
        <v>1383.77</v>
      </c>
      <c r="AE32" s="204">
        <f t="shared" si="13"/>
        <v>10000.000000000002</v>
      </c>
      <c r="AF32" s="245" t="b">
        <f t="shared" si="14"/>
        <v>1</v>
      </c>
      <c r="AG32" s="89"/>
    </row>
    <row r="33" spans="1:33" ht="12.75" customHeight="1" x14ac:dyDescent="0.2">
      <c r="B33" s="237" t="s">
        <v>3</v>
      </c>
      <c r="C33" s="329">
        <f>-TB!D40-TB!D44</f>
        <v>1771.8</v>
      </c>
      <c r="D33" s="330">
        <f t="shared" si="15"/>
        <v>-1728.2</v>
      </c>
      <c r="E33" s="332">
        <f t="shared" si="18"/>
        <v>-49</v>
      </c>
      <c r="F33" s="331">
        <f>ROUND(SUMIF($S$5:$AD$5,"&lt;="&amp;$B$3,S33:AD33),2)</f>
        <v>3500</v>
      </c>
      <c r="G33" s="235">
        <v>6000</v>
      </c>
      <c r="H33" s="184">
        <f>+C33-I33</f>
        <v>-6728.2</v>
      </c>
      <c r="I33" s="228">
        <v>8500</v>
      </c>
      <c r="J33" s="374">
        <f>R33-C33</f>
        <v>4228.2</v>
      </c>
      <c r="K33" s="374">
        <f t="shared" si="16"/>
        <v>2500</v>
      </c>
      <c r="L33" s="374">
        <f>K33-J33</f>
        <v>-1728.1999999999998</v>
      </c>
      <c r="M33" s="374">
        <v>1500</v>
      </c>
      <c r="N33" s="393">
        <f>C33+M33</f>
        <v>3271.8</v>
      </c>
      <c r="O33" s="393">
        <f t="shared" si="12"/>
        <v>2728.2</v>
      </c>
      <c r="P33" s="220"/>
      <c r="Q33" s="264" t="s">
        <v>3</v>
      </c>
      <c r="R33" s="251">
        <v>6000</v>
      </c>
      <c r="S33" s="204">
        <f t="shared" ref="S33:AD33" si="20">$R33/12</f>
        <v>500</v>
      </c>
      <c r="T33" s="204">
        <f t="shared" si="20"/>
        <v>500</v>
      </c>
      <c r="U33" s="204">
        <f t="shared" si="20"/>
        <v>500</v>
      </c>
      <c r="V33" s="204">
        <f t="shared" si="20"/>
        <v>500</v>
      </c>
      <c r="W33" s="204">
        <f t="shared" si="20"/>
        <v>500</v>
      </c>
      <c r="X33" s="204">
        <f t="shared" si="20"/>
        <v>500</v>
      </c>
      <c r="Y33" s="204">
        <f t="shared" si="20"/>
        <v>500</v>
      </c>
      <c r="Z33" s="204">
        <f t="shared" si="20"/>
        <v>500</v>
      </c>
      <c r="AA33" s="204">
        <f t="shared" si="20"/>
        <v>500</v>
      </c>
      <c r="AB33" s="204">
        <f t="shared" si="20"/>
        <v>500</v>
      </c>
      <c r="AC33" s="204">
        <f t="shared" si="20"/>
        <v>500</v>
      </c>
      <c r="AD33" s="204">
        <f t="shared" si="20"/>
        <v>500</v>
      </c>
      <c r="AE33" s="204">
        <f t="shared" si="13"/>
        <v>6000</v>
      </c>
      <c r="AF33" s="245" t="b">
        <f t="shared" si="14"/>
        <v>1</v>
      </c>
      <c r="AG33" s="89"/>
    </row>
    <row r="34" spans="1:33" ht="12.75" customHeight="1" x14ac:dyDescent="0.2">
      <c r="B34" s="232" t="s">
        <v>1025</v>
      </c>
      <c r="C34" s="325">
        <f>SUM(C29:C33)-C30</f>
        <v>103523.22999999998</v>
      </c>
      <c r="D34" s="326">
        <f>+C34-F34</f>
        <v>-1100.5600000000122</v>
      </c>
      <c r="E34" s="328"/>
      <c r="F34" s="327">
        <f>SUM(F29:F33)-F30</f>
        <v>104623.79</v>
      </c>
      <c r="G34" s="233">
        <f>SUM(G29:G33)-G30</f>
        <v>124000</v>
      </c>
      <c r="H34" s="184"/>
      <c r="I34" s="228"/>
      <c r="J34" s="327">
        <f>SUM(J29:J33)-J30</f>
        <v>20476.769999999997</v>
      </c>
      <c r="K34" s="327">
        <f>SUM(K29:K33)-K30</f>
        <v>19376.21</v>
      </c>
      <c r="L34" s="327">
        <f t="shared" ref="L34:M34" si="21">SUM(L29:L33)-L30</f>
        <v>-1100.5600000000004</v>
      </c>
      <c r="M34" s="327">
        <f t="shared" si="21"/>
        <v>17289</v>
      </c>
      <c r="N34" s="327">
        <f>SUM(N29:N33)-N30</f>
        <v>120812.22999999998</v>
      </c>
      <c r="O34" s="327">
        <f t="shared" si="12"/>
        <v>3187.7700000000186</v>
      </c>
      <c r="P34" s="310"/>
      <c r="Q34" s="309" t="s">
        <v>1025</v>
      </c>
      <c r="R34" s="253">
        <f>SUM(R29:R33)-R30</f>
        <v>124000</v>
      </c>
      <c r="S34" s="208">
        <f>SUM(S29:S33)-S30</f>
        <v>500</v>
      </c>
      <c r="T34" s="208">
        <f t="shared" ref="T34:AD34" si="22">SUM(T29:T33)-T30</f>
        <v>73767.509999999995</v>
      </c>
      <c r="U34" s="208">
        <f t="shared" si="22"/>
        <v>15925.710000000003</v>
      </c>
      <c r="V34" s="208">
        <f t="shared" si="22"/>
        <v>1665.2</v>
      </c>
      <c r="W34" s="208">
        <f t="shared" si="22"/>
        <v>4712.13</v>
      </c>
      <c r="X34" s="208">
        <f t="shared" si="22"/>
        <v>4178</v>
      </c>
      <c r="Y34" s="208">
        <f t="shared" si="22"/>
        <v>3875.24</v>
      </c>
      <c r="Z34" s="208">
        <f t="shared" si="22"/>
        <v>3875.24</v>
      </c>
      <c r="AA34" s="208">
        <f t="shared" si="22"/>
        <v>3875.24</v>
      </c>
      <c r="AB34" s="208">
        <f t="shared" si="22"/>
        <v>3875.24</v>
      </c>
      <c r="AC34" s="208">
        <f t="shared" si="22"/>
        <v>3875.24</v>
      </c>
      <c r="AD34" s="208">
        <f t="shared" si="22"/>
        <v>3875.25</v>
      </c>
      <c r="AE34" s="208">
        <f>SUM(AE29:AE33)-AE30</f>
        <v>124000</v>
      </c>
      <c r="AF34" s="244" t="b">
        <f t="shared" si="14"/>
        <v>1</v>
      </c>
      <c r="AG34" s="89"/>
    </row>
    <row r="35" spans="1:33" ht="12.75" customHeight="1" x14ac:dyDescent="0.2">
      <c r="B35" s="238"/>
      <c r="C35" s="329"/>
      <c r="D35" s="330"/>
      <c r="E35" s="332"/>
      <c r="F35" s="331"/>
      <c r="G35" s="235"/>
      <c r="H35" s="184"/>
      <c r="I35" s="228"/>
      <c r="J35" s="374"/>
      <c r="K35" s="374"/>
      <c r="L35" s="374"/>
      <c r="M35" s="374"/>
      <c r="N35" s="374"/>
      <c r="O35" s="374"/>
      <c r="P35" s="220"/>
      <c r="Q35" s="264"/>
      <c r="R35" s="251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45" t="b">
        <f t="shared" si="14"/>
        <v>1</v>
      </c>
      <c r="AG35" s="89"/>
    </row>
    <row r="36" spans="1:33" ht="12.75" customHeight="1" x14ac:dyDescent="0.2">
      <c r="B36" s="232" t="s">
        <v>1023</v>
      </c>
      <c r="C36" s="325"/>
      <c r="D36" s="326"/>
      <c r="E36" s="328"/>
      <c r="F36" s="327"/>
      <c r="G36" s="233"/>
      <c r="H36" s="184"/>
      <c r="I36" s="228"/>
      <c r="J36" s="327"/>
      <c r="K36" s="327"/>
      <c r="L36" s="327"/>
      <c r="M36" s="327"/>
      <c r="N36" s="327"/>
      <c r="O36" s="327"/>
      <c r="P36" s="220"/>
      <c r="Q36" s="265" t="s">
        <v>1023</v>
      </c>
      <c r="R36" s="253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44" t="b">
        <f t="shared" si="14"/>
        <v>1</v>
      </c>
      <c r="AG36" s="89"/>
    </row>
    <row r="37" spans="1:33" ht="12.75" customHeight="1" x14ac:dyDescent="0.2">
      <c r="B37" s="237" t="s">
        <v>984</v>
      </c>
      <c r="C37" s="329">
        <f>-TB!D50-TB!D51-TB!D52</f>
        <v>1344</v>
      </c>
      <c r="D37" s="330">
        <f t="shared" ref="D37" si="23">+C37-F37</f>
        <v>1344</v>
      </c>
      <c r="E37" s="332">
        <f t="shared" si="18"/>
        <v>0</v>
      </c>
      <c r="F37" s="331">
        <f>ROUND(SUMIF($S$5:$AD$5,"&lt;="&amp;$B$3,S37:AD37),2)</f>
        <v>0</v>
      </c>
      <c r="G37" s="235">
        <v>0</v>
      </c>
      <c r="H37" s="184">
        <f>+C37-I37</f>
        <v>-69489</v>
      </c>
      <c r="I37" s="228">
        <v>70833</v>
      </c>
      <c r="J37" s="374">
        <f>R37-C37</f>
        <v>-1344</v>
      </c>
      <c r="K37" s="374">
        <f>SUM(Z37:AD37)</f>
        <v>0</v>
      </c>
      <c r="L37" s="374">
        <f>K37-J37</f>
        <v>1344</v>
      </c>
      <c r="M37" s="374">
        <v>0</v>
      </c>
      <c r="N37" s="393">
        <f>C37+M37</f>
        <v>1344</v>
      </c>
      <c r="O37" s="393">
        <f>R37-N37</f>
        <v>-1344</v>
      </c>
      <c r="P37" s="220"/>
      <c r="Q37" s="264" t="s">
        <v>984</v>
      </c>
      <c r="R37" s="251">
        <v>0</v>
      </c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>
        <f t="shared" ref="AE37" si="24">SUM(S37:AD37)</f>
        <v>0</v>
      </c>
      <c r="AF37" s="245" t="b">
        <f t="shared" si="14"/>
        <v>1</v>
      </c>
      <c r="AG37" s="89"/>
    </row>
    <row r="38" spans="1:33" ht="12.75" customHeight="1" x14ac:dyDescent="0.2">
      <c r="B38" s="232" t="s">
        <v>1026</v>
      </c>
      <c r="C38" s="325">
        <f>SUM(C37)</f>
        <v>1344</v>
      </c>
      <c r="D38" s="326">
        <f>+C38-F38</f>
        <v>1344</v>
      </c>
      <c r="E38" s="328"/>
      <c r="F38" s="327">
        <f>SUM(F37)</f>
        <v>0</v>
      </c>
      <c r="G38" s="233">
        <f>SUM(G37)</f>
        <v>0</v>
      </c>
      <c r="H38" s="184"/>
      <c r="I38" s="228"/>
      <c r="J38" s="327">
        <f>SUM(J37)</f>
        <v>-1344</v>
      </c>
      <c r="K38" s="327">
        <f>SUM(K37)</f>
        <v>0</v>
      </c>
      <c r="L38" s="327">
        <f t="shared" ref="L38:M38" si="25">SUM(L37)</f>
        <v>1344</v>
      </c>
      <c r="M38" s="327">
        <f t="shared" si="25"/>
        <v>0</v>
      </c>
      <c r="N38" s="327">
        <f t="shared" ref="N38:O38" si="26">SUM(N37)</f>
        <v>1344</v>
      </c>
      <c r="O38" s="327">
        <f t="shared" si="26"/>
        <v>-1344</v>
      </c>
      <c r="P38" s="220"/>
      <c r="Q38" s="265" t="s">
        <v>1026</v>
      </c>
      <c r="R38" s="253">
        <f>SUM(R37)</f>
        <v>0</v>
      </c>
      <c r="S38" s="207">
        <f t="shared" ref="S38:AE38" si="27">SUM(S37)</f>
        <v>0</v>
      </c>
      <c r="T38" s="207">
        <f t="shared" si="27"/>
        <v>0</v>
      </c>
      <c r="U38" s="207">
        <f t="shared" si="27"/>
        <v>0</v>
      </c>
      <c r="V38" s="207">
        <f t="shared" si="27"/>
        <v>0</v>
      </c>
      <c r="W38" s="207">
        <f t="shared" si="27"/>
        <v>0</v>
      </c>
      <c r="X38" s="207">
        <f t="shared" si="27"/>
        <v>0</v>
      </c>
      <c r="Y38" s="207">
        <f t="shared" si="27"/>
        <v>0</v>
      </c>
      <c r="Z38" s="207">
        <f t="shared" si="27"/>
        <v>0</v>
      </c>
      <c r="AA38" s="207">
        <f t="shared" si="27"/>
        <v>0</v>
      </c>
      <c r="AB38" s="207">
        <f t="shared" si="27"/>
        <v>0</v>
      </c>
      <c r="AC38" s="207">
        <f t="shared" si="27"/>
        <v>0</v>
      </c>
      <c r="AD38" s="207">
        <f t="shared" si="27"/>
        <v>0</v>
      </c>
      <c r="AE38" s="207">
        <f t="shared" si="27"/>
        <v>0</v>
      </c>
      <c r="AF38" s="244" t="b">
        <f t="shared" si="14"/>
        <v>1</v>
      </c>
      <c r="AG38" s="89"/>
    </row>
    <row r="39" spans="1:33" ht="12.75" customHeight="1" x14ac:dyDescent="0.2">
      <c r="B39" s="238"/>
      <c r="C39" s="329"/>
      <c r="D39" s="330"/>
      <c r="E39" s="332"/>
      <c r="F39" s="331"/>
      <c r="G39" s="235"/>
      <c r="H39" s="184"/>
      <c r="I39" s="228"/>
      <c r="J39" s="374"/>
      <c r="K39" s="374"/>
      <c r="L39" s="374"/>
      <c r="M39" s="374"/>
      <c r="N39" s="374"/>
      <c r="O39" s="374"/>
      <c r="P39" s="220"/>
      <c r="Q39" s="264"/>
      <c r="R39" s="251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45" t="b">
        <f t="shared" si="14"/>
        <v>1</v>
      </c>
      <c r="AG39" s="89"/>
    </row>
    <row r="40" spans="1:33" ht="12.75" customHeight="1" x14ac:dyDescent="0.2">
      <c r="B40" s="232" t="s">
        <v>1024</v>
      </c>
      <c r="C40" s="325"/>
      <c r="D40" s="326"/>
      <c r="E40" s="328"/>
      <c r="F40" s="327"/>
      <c r="G40" s="233"/>
      <c r="H40" s="184"/>
      <c r="I40" s="228"/>
      <c r="J40" s="327"/>
      <c r="K40" s="327"/>
      <c r="L40" s="327"/>
      <c r="M40" s="327"/>
      <c r="N40" s="327"/>
      <c r="O40" s="327"/>
      <c r="P40" s="220"/>
      <c r="Q40" s="265" t="s">
        <v>1024</v>
      </c>
      <c r="R40" s="253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44" t="b">
        <f t="shared" si="14"/>
        <v>1</v>
      </c>
      <c r="AG40" s="89"/>
    </row>
    <row r="41" spans="1:33" ht="12.75" customHeight="1" x14ac:dyDescent="0.2">
      <c r="B41" s="238" t="s">
        <v>998</v>
      </c>
      <c r="C41" s="329">
        <f>-TB!D38-TB!D39</f>
        <v>3965.98</v>
      </c>
      <c r="D41" s="330">
        <f>+C41-F41</f>
        <v>965.98</v>
      </c>
      <c r="E41" s="332">
        <f t="shared" si="18"/>
        <v>32</v>
      </c>
      <c r="F41" s="331">
        <f>ROUND(SUMIF($S$5:$AD$5,"&lt;="&amp;$B$3,S41:AD41),2)</f>
        <v>3000</v>
      </c>
      <c r="G41" s="235">
        <v>6000</v>
      </c>
      <c r="H41" s="184">
        <f>+C41-I41</f>
        <v>-2131.7400000000002</v>
      </c>
      <c r="I41" s="228">
        <v>6097.72</v>
      </c>
      <c r="J41" s="374">
        <f>R41-C41</f>
        <v>2034.02</v>
      </c>
      <c r="K41" s="374">
        <f>SUM(Z41:AD41)</f>
        <v>3000</v>
      </c>
      <c r="L41" s="374">
        <f>K41-J41</f>
        <v>965.98</v>
      </c>
      <c r="M41" s="374">
        <v>2034</v>
      </c>
      <c r="N41" s="393">
        <f>C41+M41</f>
        <v>5999.98</v>
      </c>
      <c r="O41" s="393">
        <f>R41-N41</f>
        <v>2.0000000000436557E-2</v>
      </c>
      <c r="P41" s="220"/>
      <c r="Q41" s="264" t="s">
        <v>998</v>
      </c>
      <c r="R41" s="251">
        <v>6000</v>
      </c>
      <c r="S41" s="204"/>
      <c r="T41" s="204"/>
      <c r="V41" s="204">
        <f>$R41/4</f>
        <v>1500</v>
      </c>
      <c r="W41" s="204"/>
      <c r="X41" s="204"/>
      <c r="Y41" s="204">
        <f>$R41/4</f>
        <v>1500</v>
      </c>
      <c r="Z41" s="204"/>
      <c r="AA41" s="204"/>
      <c r="AB41" s="204">
        <f>$R41/4</f>
        <v>1500</v>
      </c>
      <c r="AC41" s="204"/>
      <c r="AD41" s="204">
        <f>$R41/4</f>
        <v>1500</v>
      </c>
      <c r="AE41" s="204">
        <f t="shared" si="13"/>
        <v>6000</v>
      </c>
      <c r="AF41" s="245" t="b">
        <f t="shared" si="14"/>
        <v>1</v>
      </c>
      <c r="AG41" s="89"/>
    </row>
    <row r="42" spans="1:33" ht="12.75" customHeight="1" thickBot="1" x14ac:dyDescent="0.25">
      <c r="B42" s="232" t="s">
        <v>1027</v>
      </c>
      <c r="C42" s="333">
        <f>SUM(C41)</f>
        <v>3965.98</v>
      </c>
      <c r="D42" s="334">
        <f>+C42-F42</f>
        <v>965.98</v>
      </c>
      <c r="E42" s="336"/>
      <c r="F42" s="335">
        <f>SUM(F41)</f>
        <v>3000</v>
      </c>
      <c r="G42" s="275">
        <f>SUM(G41)</f>
        <v>6000</v>
      </c>
      <c r="H42" s="184"/>
      <c r="I42" s="228"/>
      <c r="J42" s="335">
        <f>SUM(J41)</f>
        <v>2034.02</v>
      </c>
      <c r="K42" s="335">
        <f>SUM(K41)</f>
        <v>3000</v>
      </c>
      <c r="L42" s="335">
        <f t="shared" ref="L42:M42" si="28">SUM(L41)</f>
        <v>965.98</v>
      </c>
      <c r="M42" s="335">
        <f t="shared" si="28"/>
        <v>2034</v>
      </c>
      <c r="N42" s="335">
        <f t="shared" ref="N42" si="29">SUM(N41)</f>
        <v>5999.98</v>
      </c>
      <c r="O42" s="335">
        <f>R42-N42</f>
        <v>2.0000000000436557E-2</v>
      </c>
      <c r="P42" s="220"/>
      <c r="Q42" s="265" t="s">
        <v>1027</v>
      </c>
      <c r="R42" s="280">
        <f>SUM(R41)</f>
        <v>6000</v>
      </c>
      <c r="S42" s="281">
        <f t="shared" ref="S42:AE42" si="30">SUM(S41)</f>
        <v>0</v>
      </c>
      <c r="T42" s="281">
        <f t="shared" si="30"/>
        <v>0</v>
      </c>
      <c r="U42" s="281">
        <f>SUM(U41)</f>
        <v>0</v>
      </c>
      <c r="V42" s="281">
        <f>SUM(V41)</f>
        <v>1500</v>
      </c>
      <c r="W42" s="281">
        <f t="shared" si="30"/>
        <v>0</v>
      </c>
      <c r="X42" s="281">
        <f t="shared" si="30"/>
        <v>0</v>
      </c>
      <c r="Y42" s="281">
        <f t="shared" si="30"/>
        <v>1500</v>
      </c>
      <c r="Z42" s="281">
        <f t="shared" si="30"/>
        <v>0</v>
      </c>
      <c r="AA42" s="281">
        <f t="shared" si="30"/>
        <v>0</v>
      </c>
      <c r="AB42" s="281">
        <f t="shared" si="30"/>
        <v>1500</v>
      </c>
      <c r="AC42" s="281">
        <f t="shared" si="30"/>
        <v>0</v>
      </c>
      <c r="AD42" s="281">
        <f t="shared" si="30"/>
        <v>1500</v>
      </c>
      <c r="AE42" s="281">
        <f t="shared" si="30"/>
        <v>6000</v>
      </c>
      <c r="AF42" s="282" t="b">
        <f t="shared" si="14"/>
        <v>1</v>
      </c>
      <c r="AG42" s="89"/>
    </row>
    <row r="43" spans="1:33" s="194" customFormat="1" ht="21.75" customHeight="1" thickBot="1" x14ac:dyDescent="0.35">
      <c r="A43" s="203"/>
      <c r="B43" s="276" t="s">
        <v>142</v>
      </c>
      <c r="C43" s="351">
        <f>C34+C38+C42</f>
        <v>108833.20999999998</v>
      </c>
      <c r="D43" s="351">
        <f>+C43-F43</f>
        <v>1209.4199999999837</v>
      </c>
      <c r="E43" s="351">
        <f>E34+E8+E38+E42</f>
        <v>0</v>
      </c>
      <c r="F43" s="352">
        <f>F34+F38+F42</f>
        <v>107623.79</v>
      </c>
      <c r="G43" s="288">
        <f>G34+G8+G38+G42</f>
        <v>480000</v>
      </c>
      <c r="H43" s="192">
        <f>SUBTOTAL(9,H29:H41)-H30</f>
        <v>-69043.510000000009</v>
      </c>
      <c r="I43" s="231">
        <f>SUBTOTAL(9,I29:I41)-I30</f>
        <v>177876.71999999997</v>
      </c>
      <c r="J43" s="375">
        <f>J34+J38+J42</f>
        <v>21166.789999999997</v>
      </c>
      <c r="K43" s="375">
        <f>K34+K38+K42</f>
        <v>22376.21</v>
      </c>
      <c r="L43" s="375">
        <f t="shared" ref="L43:M43" si="31">L34+L38+L42</f>
        <v>1209.4199999999996</v>
      </c>
      <c r="M43" s="375">
        <f t="shared" si="31"/>
        <v>19323</v>
      </c>
      <c r="N43" s="375">
        <f t="shared" ref="N43" si="32">N34+N38+N42</f>
        <v>128156.20999999998</v>
      </c>
      <c r="O43" s="393">
        <f>R43-N43</f>
        <v>1843.7900000000227</v>
      </c>
      <c r="P43" s="219"/>
      <c r="Q43" s="276" t="s">
        <v>142</v>
      </c>
      <c r="R43" s="271">
        <f>R34+R38+R42</f>
        <v>130000</v>
      </c>
      <c r="S43" s="271">
        <f t="shared" ref="S43:AE43" si="33">S34+S38+S42</f>
        <v>500</v>
      </c>
      <c r="T43" s="271">
        <f t="shared" si="33"/>
        <v>73767.509999999995</v>
      </c>
      <c r="U43" s="271">
        <f t="shared" si="33"/>
        <v>15925.710000000003</v>
      </c>
      <c r="V43" s="271">
        <f t="shared" si="33"/>
        <v>3165.2</v>
      </c>
      <c r="W43" s="271">
        <f t="shared" si="33"/>
        <v>4712.13</v>
      </c>
      <c r="X43" s="271">
        <f t="shared" si="33"/>
        <v>4178</v>
      </c>
      <c r="Y43" s="271">
        <f t="shared" si="33"/>
        <v>5375.24</v>
      </c>
      <c r="Z43" s="271">
        <f t="shared" si="33"/>
        <v>3875.24</v>
      </c>
      <c r="AA43" s="271">
        <f t="shared" si="33"/>
        <v>3875.24</v>
      </c>
      <c r="AB43" s="271">
        <f t="shared" si="33"/>
        <v>5375.24</v>
      </c>
      <c r="AC43" s="271">
        <f t="shared" si="33"/>
        <v>3875.24</v>
      </c>
      <c r="AD43" s="271">
        <f t="shared" si="33"/>
        <v>5375.25</v>
      </c>
      <c r="AE43" s="271">
        <f t="shared" si="33"/>
        <v>130000</v>
      </c>
      <c r="AF43" s="297" t="b">
        <f t="shared" si="14"/>
        <v>1</v>
      </c>
      <c r="AG43" s="193"/>
    </row>
    <row r="44" spans="1:33" ht="12.75" customHeight="1" thickBot="1" x14ac:dyDescent="0.25">
      <c r="B44" s="408"/>
      <c r="C44" s="412"/>
      <c r="D44" s="337"/>
      <c r="E44" s="411"/>
      <c r="F44" s="414"/>
      <c r="G44" s="413"/>
      <c r="H44" s="394"/>
      <c r="I44" s="395"/>
      <c r="J44" s="415"/>
      <c r="K44" s="416"/>
      <c r="L44" s="416"/>
      <c r="M44" s="415"/>
      <c r="N44" s="415"/>
      <c r="O44" s="415"/>
      <c r="P44" s="220"/>
      <c r="Q44" s="264"/>
      <c r="R44" s="404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6"/>
      <c r="AF44" s="407"/>
      <c r="AG44" s="409"/>
    </row>
    <row r="45" spans="1:33" s="194" customFormat="1" ht="21.75" customHeight="1" thickBot="1" x14ac:dyDescent="0.35">
      <c r="A45" s="203"/>
      <c r="B45" s="276" t="s">
        <v>764</v>
      </c>
      <c r="C45" s="351"/>
      <c r="D45" s="351"/>
      <c r="E45" s="351"/>
      <c r="F45" s="352"/>
      <c r="G45" s="311"/>
      <c r="H45" s="198"/>
      <c r="I45" s="226"/>
      <c r="J45" s="375"/>
      <c r="K45" s="375"/>
      <c r="L45" s="375"/>
      <c r="M45" s="375"/>
      <c r="N45" s="375"/>
      <c r="O45" s="375"/>
      <c r="P45" s="219"/>
      <c r="Q45" s="276" t="s">
        <v>764</v>
      </c>
      <c r="R45" s="271"/>
      <c r="S45" s="295"/>
      <c r="T45" s="295"/>
      <c r="U45" s="295"/>
      <c r="V45" s="295"/>
      <c r="W45" s="295"/>
      <c r="X45" s="295"/>
      <c r="Y45" s="295"/>
      <c r="Z45" s="296"/>
      <c r="AA45" s="295"/>
      <c r="AB45" s="295"/>
      <c r="AC45" s="295"/>
      <c r="AD45" s="295"/>
      <c r="AE45" s="295"/>
      <c r="AF45" s="297"/>
      <c r="AG45" s="193"/>
    </row>
    <row r="46" spans="1:33" ht="12.75" customHeight="1" x14ac:dyDescent="0.25">
      <c r="B46" s="239" t="s">
        <v>1028</v>
      </c>
      <c r="C46" s="353"/>
      <c r="D46" s="340"/>
      <c r="E46" s="340"/>
      <c r="F46" s="354"/>
      <c r="G46" s="240"/>
      <c r="H46" s="182"/>
      <c r="I46" s="183"/>
      <c r="J46" s="354"/>
      <c r="K46" s="354"/>
      <c r="L46" s="354"/>
      <c r="M46" s="354"/>
      <c r="N46" s="354"/>
      <c r="O46" s="354"/>
      <c r="P46" s="220"/>
      <c r="Q46" s="261" t="s">
        <v>1028</v>
      </c>
      <c r="R46" s="303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1"/>
      <c r="AF46" s="294"/>
      <c r="AG46" s="89"/>
    </row>
    <row r="47" spans="1:33" ht="12.75" customHeight="1" x14ac:dyDescent="0.2">
      <c r="B47" s="238" t="s">
        <v>1029</v>
      </c>
      <c r="C47" s="329"/>
      <c r="D47" s="330"/>
      <c r="E47" s="345"/>
      <c r="F47" s="331"/>
      <c r="G47" s="235"/>
      <c r="H47" s="182"/>
      <c r="I47" s="183"/>
      <c r="J47" s="374"/>
      <c r="K47" s="374"/>
      <c r="L47" s="374"/>
      <c r="M47" s="374"/>
      <c r="N47" s="374"/>
      <c r="O47" s="374"/>
      <c r="P47" s="220"/>
      <c r="Q47" s="266" t="s">
        <v>1029</v>
      </c>
      <c r="R47" s="255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04"/>
      <c r="AF47" s="245"/>
      <c r="AG47" s="89"/>
    </row>
    <row r="48" spans="1:33" ht="12.75" customHeight="1" x14ac:dyDescent="0.2">
      <c r="B48" s="234" t="s">
        <v>941</v>
      </c>
      <c r="C48" s="329">
        <f>-TB!D54</f>
        <v>-36382.5</v>
      </c>
      <c r="D48" s="330">
        <f t="shared" ref="D48:D80" si="34">+C48-F48</f>
        <v>1534.1699999999983</v>
      </c>
      <c r="E48" s="345">
        <f t="shared" si="18"/>
        <v>4</v>
      </c>
      <c r="F48" s="331">
        <f>ROUND(SUMIF($S$5:$AD$5,"&lt;="&amp;$B$3,S48:AD48),2)</f>
        <v>-37916.67</v>
      </c>
      <c r="G48" s="235">
        <v>-65000</v>
      </c>
      <c r="H48" s="184">
        <f>+C48-I48</f>
        <v>41377.5</v>
      </c>
      <c r="I48" s="230">
        <v>-77760</v>
      </c>
      <c r="J48" s="374">
        <f>R48-C48</f>
        <v>-28617.5</v>
      </c>
      <c r="K48" s="374">
        <f>SUM(Z48:AD48)</f>
        <v>-27083.333333333336</v>
      </c>
      <c r="L48" s="374">
        <f>K48-J48</f>
        <v>1534.1666666666642</v>
      </c>
      <c r="M48" s="374">
        <v>-27083</v>
      </c>
      <c r="N48" s="393">
        <f>C48+M48</f>
        <v>-63465.5</v>
      </c>
      <c r="O48" s="393">
        <f>R48-N48</f>
        <v>-1534.5</v>
      </c>
      <c r="P48" s="220"/>
      <c r="Q48" s="262" t="s">
        <v>941</v>
      </c>
      <c r="R48" s="256">
        <v>-65000</v>
      </c>
      <c r="S48" s="212">
        <f t="shared" ref="S48:AD53" si="35">$R48/12</f>
        <v>-5416.666666666667</v>
      </c>
      <c r="T48" s="212">
        <f t="shared" si="35"/>
        <v>-5416.666666666667</v>
      </c>
      <c r="U48" s="212">
        <f t="shared" si="35"/>
        <v>-5416.666666666667</v>
      </c>
      <c r="V48" s="212">
        <f t="shared" si="35"/>
        <v>-5416.666666666667</v>
      </c>
      <c r="W48" s="212">
        <f t="shared" si="35"/>
        <v>-5416.666666666667</v>
      </c>
      <c r="X48" s="212">
        <f t="shared" si="35"/>
        <v>-5416.666666666667</v>
      </c>
      <c r="Y48" s="212">
        <f t="shared" si="35"/>
        <v>-5416.666666666667</v>
      </c>
      <c r="Z48" s="212">
        <f t="shared" si="35"/>
        <v>-5416.666666666667</v>
      </c>
      <c r="AA48" s="212">
        <f t="shared" si="35"/>
        <v>-5416.666666666667</v>
      </c>
      <c r="AB48" s="212">
        <f t="shared" si="35"/>
        <v>-5416.666666666667</v>
      </c>
      <c r="AC48" s="212">
        <f t="shared" si="35"/>
        <v>-5416.666666666667</v>
      </c>
      <c r="AD48" s="212">
        <f t="shared" si="35"/>
        <v>-5416.666666666667</v>
      </c>
      <c r="AE48" s="204">
        <f t="shared" ref="AE48:AE53" si="36">SUM(S48:AD48)</f>
        <v>-64999.999999999993</v>
      </c>
      <c r="AF48" s="245" t="b">
        <f t="shared" ref="AF48:AF53" si="37">AE48=R48</f>
        <v>1</v>
      </c>
      <c r="AG48" s="89"/>
    </row>
    <row r="49" spans="2:33" ht="12.75" customHeight="1" x14ac:dyDescent="0.2">
      <c r="B49" s="237" t="s">
        <v>942</v>
      </c>
      <c r="C49" s="329">
        <f>-TB!D59</f>
        <v>-5502.32</v>
      </c>
      <c r="D49" s="330">
        <f t="shared" si="34"/>
        <v>3247.6800000000003</v>
      </c>
      <c r="E49" s="345">
        <f t="shared" si="18"/>
        <v>37</v>
      </c>
      <c r="F49" s="331">
        <f>ROUND(SUMIF($S$5:$AD$5,"&lt;="&amp;$B$3,S49:AD49),2)</f>
        <v>-8750</v>
      </c>
      <c r="G49" s="235">
        <v>-15000</v>
      </c>
      <c r="H49" s="184">
        <f>+C49-I49</f>
        <v>10997.68</v>
      </c>
      <c r="I49" s="230">
        <v>-16500</v>
      </c>
      <c r="J49" s="374">
        <f>R49-C49</f>
        <v>-9497.68</v>
      </c>
      <c r="K49" s="374">
        <f>SUM(Z49:AD49)</f>
        <v>-6250</v>
      </c>
      <c r="L49" s="374">
        <f>K49-J49</f>
        <v>3247.6800000000003</v>
      </c>
      <c r="M49" s="374">
        <v>-7250</v>
      </c>
      <c r="N49" s="393">
        <f>C49+M49</f>
        <v>-12752.32</v>
      </c>
      <c r="O49" s="393">
        <f>R49-N49</f>
        <v>-2247.6800000000003</v>
      </c>
      <c r="P49" s="220"/>
      <c r="Q49" s="264" t="s">
        <v>942</v>
      </c>
      <c r="R49" s="256">
        <v>-15000</v>
      </c>
      <c r="S49" s="212">
        <f t="shared" si="35"/>
        <v>-1250</v>
      </c>
      <c r="T49" s="212">
        <f t="shared" si="35"/>
        <v>-1250</v>
      </c>
      <c r="U49" s="212">
        <f t="shared" si="35"/>
        <v>-1250</v>
      </c>
      <c r="V49" s="212">
        <f t="shared" si="35"/>
        <v>-1250</v>
      </c>
      <c r="W49" s="212">
        <f t="shared" si="35"/>
        <v>-1250</v>
      </c>
      <c r="X49" s="212">
        <f t="shared" si="35"/>
        <v>-1250</v>
      </c>
      <c r="Y49" s="212">
        <f t="shared" si="35"/>
        <v>-1250</v>
      </c>
      <c r="Z49" s="212">
        <f t="shared" si="35"/>
        <v>-1250</v>
      </c>
      <c r="AA49" s="212">
        <f t="shared" si="35"/>
        <v>-1250</v>
      </c>
      <c r="AB49" s="212">
        <f t="shared" si="35"/>
        <v>-1250</v>
      </c>
      <c r="AC49" s="212">
        <f t="shared" si="35"/>
        <v>-1250</v>
      </c>
      <c r="AD49" s="212">
        <f t="shared" si="35"/>
        <v>-1250</v>
      </c>
      <c r="AE49" s="204">
        <f t="shared" si="36"/>
        <v>-15000</v>
      </c>
      <c r="AF49" s="245" t="b">
        <f t="shared" si="37"/>
        <v>1</v>
      </c>
      <c r="AG49" s="89"/>
    </row>
    <row r="50" spans="2:33" ht="12.75" customHeight="1" x14ac:dyDescent="0.2">
      <c r="B50" s="237" t="s">
        <v>11</v>
      </c>
      <c r="C50" s="329">
        <f>-TB!D60</f>
        <v>-2500.7200000000003</v>
      </c>
      <c r="D50" s="330">
        <f t="shared" si="34"/>
        <v>415.94999999999982</v>
      </c>
      <c r="E50" s="345">
        <f t="shared" si="18"/>
        <v>14</v>
      </c>
      <c r="F50" s="331">
        <f>ROUND(SUMIF($S$5:$AD$5,"&lt;="&amp;$B$3,S50:AD50),2)</f>
        <v>-2916.67</v>
      </c>
      <c r="G50" s="235">
        <v>-5000</v>
      </c>
      <c r="H50" s="184">
        <f>+C50-I50</f>
        <v>2499.2799999999997</v>
      </c>
      <c r="I50" s="230">
        <v>-5000</v>
      </c>
      <c r="J50" s="374">
        <f>R50-C50</f>
        <v>-2499.2799999999997</v>
      </c>
      <c r="K50" s="374">
        <f>SUM(Z50:AD50)</f>
        <v>-2083.3333333333335</v>
      </c>
      <c r="L50" s="374">
        <f>K50-J50</f>
        <v>415.94666666666626</v>
      </c>
      <c r="M50" s="374">
        <v>-2499</v>
      </c>
      <c r="N50" s="393">
        <f>C50+M50</f>
        <v>-4999.72</v>
      </c>
      <c r="O50" s="393">
        <f>R50-N50</f>
        <v>-0.27999999999974534</v>
      </c>
      <c r="P50" s="220"/>
      <c r="Q50" s="264" t="s">
        <v>11</v>
      </c>
      <c r="R50" s="256">
        <v>-5000</v>
      </c>
      <c r="S50" s="212">
        <f t="shared" si="35"/>
        <v>-416.66666666666669</v>
      </c>
      <c r="T50" s="212">
        <f t="shared" si="35"/>
        <v>-416.66666666666669</v>
      </c>
      <c r="U50" s="212">
        <f t="shared" si="35"/>
        <v>-416.66666666666669</v>
      </c>
      <c r="V50" s="212">
        <f t="shared" si="35"/>
        <v>-416.66666666666669</v>
      </c>
      <c r="W50" s="212">
        <f t="shared" si="35"/>
        <v>-416.66666666666669</v>
      </c>
      <c r="X50" s="212">
        <f t="shared" si="35"/>
        <v>-416.66666666666669</v>
      </c>
      <c r="Y50" s="212">
        <f t="shared" si="35"/>
        <v>-416.66666666666669</v>
      </c>
      <c r="Z50" s="212">
        <f t="shared" si="35"/>
        <v>-416.66666666666669</v>
      </c>
      <c r="AA50" s="212">
        <f t="shared" si="35"/>
        <v>-416.66666666666669</v>
      </c>
      <c r="AB50" s="212">
        <f t="shared" si="35"/>
        <v>-416.66666666666669</v>
      </c>
      <c r="AC50" s="212">
        <f t="shared" si="35"/>
        <v>-416.66666666666669</v>
      </c>
      <c r="AD50" s="212">
        <f t="shared" si="35"/>
        <v>-416.66666666666669</v>
      </c>
      <c r="AE50" s="204">
        <f t="shared" si="36"/>
        <v>-5000</v>
      </c>
      <c r="AF50" s="245" t="b">
        <f t="shared" si="37"/>
        <v>1</v>
      </c>
      <c r="AG50" s="89"/>
    </row>
    <row r="51" spans="2:33" ht="12" customHeight="1" x14ac:dyDescent="0.2">
      <c r="B51" s="238"/>
      <c r="C51" s="329"/>
      <c r="D51" s="330"/>
      <c r="E51" s="345"/>
      <c r="F51" s="331"/>
      <c r="G51" s="235"/>
      <c r="H51" s="184"/>
      <c r="I51" s="274"/>
      <c r="J51" s="374"/>
      <c r="K51" s="374"/>
      <c r="L51" s="374"/>
      <c r="M51" s="374"/>
      <c r="N51" s="374"/>
      <c r="O51" s="374"/>
      <c r="P51" s="220"/>
      <c r="Q51" s="264"/>
      <c r="R51" s="256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04"/>
      <c r="AF51" s="245"/>
      <c r="AG51" s="89"/>
    </row>
    <row r="52" spans="2:33" ht="12.75" customHeight="1" x14ac:dyDescent="0.2">
      <c r="B52" s="238" t="s">
        <v>1030</v>
      </c>
      <c r="C52" s="329"/>
      <c r="D52" s="330"/>
      <c r="E52" s="345"/>
      <c r="F52" s="331"/>
      <c r="G52" s="235"/>
      <c r="H52" s="184"/>
      <c r="I52" s="230"/>
      <c r="J52" s="374"/>
      <c r="K52" s="374"/>
      <c r="L52" s="374"/>
      <c r="M52" s="374"/>
      <c r="N52" s="374"/>
      <c r="O52" s="374"/>
      <c r="P52" s="220"/>
      <c r="Q52" s="266" t="s">
        <v>1030</v>
      </c>
      <c r="R52" s="256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04"/>
      <c r="AF52" s="245"/>
      <c r="AG52" s="89"/>
    </row>
    <row r="53" spans="2:33" ht="12.75" customHeight="1" x14ac:dyDescent="0.2">
      <c r="B53" s="237" t="s">
        <v>779</v>
      </c>
      <c r="C53" s="329">
        <f>-TB!D61</f>
        <v>-10791.93</v>
      </c>
      <c r="D53" s="330">
        <f t="shared" si="34"/>
        <v>7291.4000000000015</v>
      </c>
      <c r="E53" s="345">
        <f t="shared" si="18"/>
        <v>40</v>
      </c>
      <c r="F53" s="331">
        <f>ROUND(SUMIF($S$5:$AD$5,"&lt;="&amp;$B$3,S53:AD53),2)</f>
        <v>-18083.330000000002</v>
      </c>
      <c r="G53" s="235">
        <v>-31000</v>
      </c>
      <c r="H53" s="184">
        <f>+C53-I53</f>
        <v>10208.07</v>
      </c>
      <c r="I53" s="230">
        <v>-21000</v>
      </c>
      <c r="J53" s="374">
        <f>R53-C53</f>
        <v>-20208.07</v>
      </c>
      <c r="K53" s="374">
        <f>SUM(Z53:AD53)</f>
        <v>-12916.666666666668</v>
      </c>
      <c r="L53" s="374">
        <f>K53-J53</f>
        <v>7291.4033333333318</v>
      </c>
      <c r="M53" s="374">
        <v>-12208</v>
      </c>
      <c r="N53" s="393">
        <f>C53+M53</f>
        <v>-22999.93</v>
      </c>
      <c r="O53" s="393">
        <f>R53-N53</f>
        <v>-8000.07</v>
      </c>
      <c r="P53" s="220"/>
      <c r="Q53" s="264" t="s">
        <v>779</v>
      </c>
      <c r="R53" s="256">
        <v>-31000</v>
      </c>
      <c r="S53" s="212">
        <f t="shared" si="35"/>
        <v>-2583.3333333333335</v>
      </c>
      <c r="T53" s="212">
        <f t="shared" si="35"/>
        <v>-2583.3333333333335</v>
      </c>
      <c r="U53" s="212">
        <f t="shared" si="35"/>
        <v>-2583.3333333333335</v>
      </c>
      <c r="V53" s="212">
        <f t="shared" si="35"/>
        <v>-2583.3333333333335</v>
      </c>
      <c r="W53" s="212">
        <f t="shared" si="35"/>
        <v>-2583.3333333333335</v>
      </c>
      <c r="X53" s="212">
        <f t="shared" si="35"/>
        <v>-2583.3333333333335</v>
      </c>
      <c r="Y53" s="212">
        <f t="shared" si="35"/>
        <v>-2583.3333333333335</v>
      </c>
      <c r="Z53" s="212">
        <f t="shared" si="35"/>
        <v>-2583.3333333333335</v>
      </c>
      <c r="AA53" s="212">
        <f t="shared" si="35"/>
        <v>-2583.3333333333335</v>
      </c>
      <c r="AB53" s="212">
        <f t="shared" si="35"/>
        <v>-2583.3333333333335</v>
      </c>
      <c r="AC53" s="212">
        <f t="shared" si="35"/>
        <v>-2583.3333333333335</v>
      </c>
      <c r="AD53" s="212">
        <f t="shared" si="35"/>
        <v>-2583.3333333333335</v>
      </c>
      <c r="AE53" s="204">
        <f t="shared" si="36"/>
        <v>-30999.999999999996</v>
      </c>
      <c r="AF53" s="245" t="b">
        <f t="shared" si="37"/>
        <v>1</v>
      </c>
      <c r="AG53" s="89"/>
    </row>
    <row r="54" spans="2:33" ht="12.75" customHeight="1" x14ac:dyDescent="0.2">
      <c r="B54" s="237" t="s">
        <v>913</v>
      </c>
      <c r="C54" s="329">
        <f>-TB!D87</f>
        <v>0</v>
      </c>
      <c r="D54" s="330">
        <f>+C54-F54</f>
        <v>233.33</v>
      </c>
      <c r="E54" s="345">
        <f>IFERROR(ROUND((D54/ABS(F54))*100,0),0)</f>
        <v>100</v>
      </c>
      <c r="F54" s="331">
        <f>ROUND(SUMIF($S$5:$AD$5,"&lt;="&amp;$B$3,S54:AD54),2)</f>
        <v>-233.33</v>
      </c>
      <c r="G54" s="235">
        <v>-400</v>
      </c>
      <c r="H54" s="184">
        <f>+C54-I54</f>
        <v>600</v>
      </c>
      <c r="I54" s="230">
        <v>-600</v>
      </c>
      <c r="J54" s="374">
        <f>R54-C54</f>
        <v>-400</v>
      </c>
      <c r="K54" s="374">
        <f t="shared" ref="K54:K55" si="38">SUM(Z54:AD54)</f>
        <v>-166.66666666666669</v>
      </c>
      <c r="L54" s="374">
        <f>K54-J54</f>
        <v>233.33333333333331</v>
      </c>
      <c r="M54" s="374">
        <v>0</v>
      </c>
      <c r="N54" s="393">
        <f>C54+M54</f>
        <v>0</v>
      </c>
      <c r="O54" s="393">
        <f>R54-N54</f>
        <v>-400</v>
      </c>
      <c r="P54" s="220"/>
      <c r="Q54" s="264" t="s">
        <v>913</v>
      </c>
      <c r="R54" s="256">
        <v>-400</v>
      </c>
      <c r="S54" s="212">
        <f t="shared" ref="S54:AD54" si="39">$R54/12</f>
        <v>-33.333333333333336</v>
      </c>
      <c r="T54" s="212">
        <f t="shared" si="39"/>
        <v>-33.333333333333336</v>
      </c>
      <c r="U54" s="212">
        <f t="shared" si="39"/>
        <v>-33.333333333333336</v>
      </c>
      <c r="V54" s="212">
        <f t="shared" si="39"/>
        <v>-33.333333333333336</v>
      </c>
      <c r="W54" s="212">
        <f t="shared" si="39"/>
        <v>-33.333333333333336</v>
      </c>
      <c r="X54" s="212">
        <f t="shared" si="39"/>
        <v>-33.333333333333336</v>
      </c>
      <c r="Y54" s="212">
        <f t="shared" si="39"/>
        <v>-33.333333333333336</v>
      </c>
      <c r="Z54" s="212">
        <f t="shared" si="39"/>
        <v>-33.333333333333336</v>
      </c>
      <c r="AA54" s="212">
        <f t="shared" si="39"/>
        <v>-33.333333333333336</v>
      </c>
      <c r="AB54" s="212">
        <f t="shared" si="39"/>
        <v>-33.333333333333336</v>
      </c>
      <c r="AC54" s="212">
        <f t="shared" si="39"/>
        <v>-33.333333333333336</v>
      </c>
      <c r="AD54" s="212">
        <f t="shared" si="39"/>
        <v>-33.333333333333336</v>
      </c>
      <c r="AE54" s="204">
        <f>SUM(S54:AD54)</f>
        <v>-399.99999999999994</v>
      </c>
      <c r="AF54" s="245" t="b">
        <f>AE54=R54</f>
        <v>1</v>
      </c>
      <c r="AG54" s="89"/>
    </row>
    <row r="55" spans="2:33" ht="12.75" customHeight="1" x14ac:dyDescent="0.2">
      <c r="B55" s="237" t="s">
        <v>1041</v>
      </c>
      <c r="C55" s="329">
        <f>S55*C2</f>
        <v>-2625</v>
      </c>
      <c r="D55" s="330">
        <f>+C55-F55</f>
        <v>0</v>
      </c>
      <c r="E55" s="345"/>
      <c r="F55" s="331">
        <f>R55/12*C2</f>
        <v>-2625</v>
      </c>
      <c r="G55" s="235">
        <f>R55</f>
        <v>-4500</v>
      </c>
      <c r="H55" s="184"/>
      <c r="I55" s="230"/>
      <c r="J55" s="374">
        <f>R55-C55</f>
        <v>-1875</v>
      </c>
      <c r="K55" s="374">
        <f t="shared" si="38"/>
        <v>-1875</v>
      </c>
      <c r="L55" s="374">
        <f>K55-J55</f>
        <v>0</v>
      </c>
      <c r="M55" s="374">
        <v>-1875</v>
      </c>
      <c r="N55" s="393">
        <f>C55+M55</f>
        <v>-4500</v>
      </c>
      <c r="O55" s="393">
        <f>R55-N55</f>
        <v>0</v>
      </c>
      <c r="P55" s="220"/>
      <c r="Q55" s="264" t="s">
        <v>905</v>
      </c>
      <c r="R55" s="256">
        <v>-4500</v>
      </c>
      <c r="S55" s="212">
        <v>-375</v>
      </c>
      <c r="T55" s="212">
        <v>-375</v>
      </c>
      <c r="U55" s="212">
        <v>-375</v>
      </c>
      <c r="V55" s="212">
        <v>-375</v>
      </c>
      <c r="W55" s="212">
        <v>-375</v>
      </c>
      <c r="X55" s="212">
        <v>-375</v>
      </c>
      <c r="Y55" s="212">
        <v>-375</v>
      </c>
      <c r="Z55" s="212">
        <v>-375</v>
      </c>
      <c r="AA55" s="212">
        <v>-375</v>
      </c>
      <c r="AB55" s="212">
        <v>-375</v>
      </c>
      <c r="AC55" s="212">
        <v>-375</v>
      </c>
      <c r="AD55" s="212">
        <v>-375</v>
      </c>
      <c r="AE55" s="204">
        <f>SUM(S55:AD55)</f>
        <v>-4500</v>
      </c>
      <c r="AF55" s="245" t="b">
        <f>AE55=R55</f>
        <v>1</v>
      </c>
      <c r="AG55" s="89"/>
    </row>
    <row r="56" spans="2:33" ht="12.75" customHeight="1" x14ac:dyDescent="0.25">
      <c r="B56" s="239" t="s">
        <v>1049</v>
      </c>
      <c r="C56" s="355">
        <f>SUM(C48:C55)</f>
        <v>-57802.47</v>
      </c>
      <c r="D56" s="326">
        <f>+C56-F56</f>
        <v>12722.529999999999</v>
      </c>
      <c r="E56" s="326"/>
      <c r="F56" s="355">
        <f>SUM(F48:F55)</f>
        <v>-70525</v>
      </c>
      <c r="G56" s="240"/>
      <c r="H56" s="182"/>
      <c r="I56" s="183"/>
      <c r="J56" s="355">
        <f>SUM(J48:J55)</f>
        <v>-63097.53</v>
      </c>
      <c r="K56" s="355">
        <f>SUM(K48:K55)</f>
        <v>-50375.000000000007</v>
      </c>
      <c r="L56" s="355">
        <f t="shared" ref="L56:M56" si="40">SUM(L48:L55)</f>
        <v>12722.529999999997</v>
      </c>
      <c r="M56" s="355">
        <f t="shared" si="40"/>
        <v>-50915</v>
      </c>
      <c r="N56" s="355">
        <f t="shared" ref="N56" si="41">SUM(N48:N55)</f>
        <v>-108717.47</v>
      </c>
      <c r="O56" s="356">
        <f>R56-N56</f>
        <v>-12182.529999999999</v>
      </c>
      <c r="P56" s="220"/>
      <c r="Q56" s="261" t="s">
        <v>1028</v>
      </c>
      <c r="R56" s="300">
        <f>SUM(R48:R55)</f>
        <v>-120900</v>
      </c>
      <c r="S56" s="300">
        <f t="shared" ref="S56:AE56" si="42">SUM(S48:S55)</f>
        <v>-10075.000000000002</v>
      </c>
      <c r="T56" s="300">
        <f t="shared" si="42"/>
        <v>-10075.000000000002</v>
      </c>
      <c r="U56" s="300">
        <f t="shared" si="42"/>
        <v>-10075.000000000002</v>
      </c>
      <c r="V56" s="300">
        <f t="shared" si="42"/>
        <v>-10075.000000000002</v>
      </c>
      <c r="W56" s="300">
        <f t="shared" si="42"/>
        <v>-10075.000000000002</v>
      </c>
      <c r="X56" s="300">
        <f t="shared" si="42"/>
        <v>-10075.000000000002</v>
      </c>
      <c r="Y56" s="300">
        <f t="shared" si="42"/>
        <v>-10075.000000000002</v>
      </c>
      <c r="Z56" s="300">
        <f t="shared" si="42"/>
        <v>-10075.000000000002</v>
      </c>
      <c r="AA56" s="300">
        <f t="shared" si="42"/>
        <v>-10075.000000000002</v>
      </c>
      <c r="AB56" s="300">
        <f t="shared" si="42"/>
        <v>-10075.000000000002</v>
      </c>
      <c r="AC56" s="300">
        <f t="shared" si="42"/>
        <v>-10075.000000000002</v>
      </c>
      <c r="AD56" s="300">
        <f t="shared" si="42"/>
        <v>-10075.000000000002</v>
      </c>
      <c r="AE56" s="300">
        <f t="shared" si="42"/>
        <v>-120900</v>
      </c>
      <c r="AF56" s="248" t="b">
        <f>AE56=R56</f>
        <v>1</v>
      </c>
      <c r="AG56" s="89"/>
    </row>
    <row r="57" spans="2:33" ht="12.75" customHeight="1" x14ac:dyDescent="0.2">
      <c r="B57" s="237"/>
      <c r="C57" s="329"/>
      <c r="D57" s="330"/>
      <c r="E57" s="345"/>
      <c r="F57" s="331"/>
      <c r="G57" s="235"/>
      <c r="H57" s="184"/>
      <c r="I57" s="230"/>
      <c r="J57" s="374"/>
      <c r="K57" s="374"/>
      <c r="L57" s="393"/>
      <c r="M57" s="374"/>
      <c r="N57" s="374"/>
      <c r="O57" s="374"/>
      <c r="P57" s="220"/>
      <c r="Q57" s="264"/>
      <c r="R57" s="256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04"/>
      <c r="AF57" s="246"/>
      <c r="AG57" s="89"/>
    </row>
    <row r="58" spans="2:33" ht="12.75" customHeight="1" x14ac:dyDescent="0.25">
      <c r="B58" s="239" t="s">
        <v>1023</v>
      </c>
      <c r="C58" s="355"/>
      <c r="D58" s="326"/>
      <c r="E58" s="326"/>
      <c r="F58" s="356"/>
      <c r="G58" s="240"/>
      <c r="H58" s="182"/>
      <c r="I58" s="183"/>
      <c r="J58" s="356"/>
      <c r="K58" s="356"/>
      <c r="L58" s="356"/>
      <c r="M58" s="356"/>
      <c r="N58" s="356"/>
      <c r="O58" s="356"/>
      <c r="P58" s="220"/>
      <c r="Q58" s="261" t="s">
        <v>1023</v>
      </c>
      <c r="R58" s="254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1"/>
      <c r="AF58" s="248"/>
      <c r="AG58" s="89"/>
    </row>
    <row r="59" spans="2:33" ht="12.75" customHeight="1" x14ac:dyDescent="0.2">
      <c r="B59" s="237" t="s">
        <v>772</v>
      </c>
      <c r="C59" s="329">
        <f>-TB!D104-TB!D101</f>
        <v>-13496.26</v>
      </c>
      <c r="D59" s="330">
        <f>+C59-F59</f>
        <v>-5996.26</v>
      </c>
      <c r="E59" s="332">
        <f>IFERROR(ROUND((D59/ABS(F59))*100,0),0)</f>
        <v>-80</v>
      </c>
      <c r="F59" s="331">
        <f>ROUND(SUMIF($S$5:$AD$5,"&lt;="&amp;$B$3,S59:AD59),2)</f>
        <v>-7500</v>
      </c>
      <c r="G59" s="235">
        <v>-7500</v>
      </c>
      <c r="H59" s="184">
        <f>+C59-I59</f>
        <v>-4496.26</v>
      </c>
      <c r="I59" s="230">
        <v>-9000</v>
      </c>
      <c r="J59" s="422">
        <f>R59-C59</f>
        <v>5996.26</v>
      </c>
      <c r="K59" s="374">
        <f>SUM(Z59:AD59)</f>
        <v>0</v>
      </c>
      <c r="L59" s="374">
        <f>SUM(Z59:AE59)</f>
        <v>-7500</v>
      </c>
      <c r="M59" s="374">
        <v>3000</v>
      </c>
      <c r="N59" s="393">
        <f>C59+M59</f>
        <v>-10496.26</v>
      </c>
      <c r="O59" s="393">
        <f>R59-N59</f>
        <v>2996.26</v>
      </c>
      <c r="P59" s="220"/>
      <c r="Q59" s="264" t="s">
        <v>772</v>
      </c>
      <c r="R59" s="256">
        <v>-7500</v>
      </c>
      <c r="S59" s="212"/>
      <c r="T59" s="212"/>
      <c r="U59" s="212"/>
      <c r="V59" s="212">
        <v>-951</v>
      </c>
      <c r="W59" s="212">
        <v>-5249</v>
      </c>
      <c r="X59" s="212">
        <v>-1300</v>
      </c>
      <c r="Y59" s="212"/>
      <c r="Z59" s="212"/>
      <c r="AA59" s="212"/>
      <c r="AB59" s="212"/>
      <c r="AC59" s="212"/>
      <c r="AD59" s="212"/>
      <c r="AE59" s="204">
        <f>SUM(S59:AD59)</f>
        <v>-7500</v>
      </c>
      <c r="AF59" s="246" t="b">
        <f>AE59=R59</f>
        <v>1</v>
      </c>
      <c r="AG59" s="89"/>
    </row>
    <row r="60" spans="2:33" ht="12.75" customHeight="1" x14ac:dyDescent="0.25">
      <c r="B60" s="418" t="s">
        <v>1026</v>
      </c>
      <c r="C60" s="417">
        <f>SUM(C58:C59)</f>
        <v>-13496.26</v>
      </c>
      <c r="D60" s="334">
        <f>+C60-F60</f>
        <v>-5996.26</v>
      </c>
      <c r="E60" s="357">
        <f>SUM(E44:E59)</f>
        <v>115</v>
      </c>
      <c r="F60" s="357">
        <f>SUM(F58:F59)</f>
        <v>-7500</v>
      </c>
      <c r="G60" s="240"/>
      <c r="H60" s="182"/>
      <c r="I60" s="183"/>
      <c r="J60" s="357">
        <f>SUM(J58:J59)</f>
        <v>5996.26</v>
      </c>
      <c r="K60" s="357">
        <f>SUM(K58:K59)</f>
        <v>0</v>
      </c>
      <c r="L60" s="357">
        <f>SUM(L58:L59)</f>
        <v>-7500</v>
      </c>
      <c r="M60" s="357">
        <f>SUM(M59)</f>
        <v>3000</v>
      </c>
      <c r="N60" s="357">
        <f>SUM(N59)</f>
        <v>-10496.26</v>
      </c>
      <c r="O60" s="357">
        <f>R60-N60</f>
        <v>2996.26</v>
      </c>
      <c r="P60" s="220"/>
      <c r="Q60" s="261" t="s">
        <v>1026</v>
      </c>
      <c r="R60" s="301">
        <f>SUM(R58:R59)</f>
        <v>-7500</v>
      </c>
      <c r="S60" s="301">
        <f t="shared" ref="S60:AE60" si="43">SUM(S58:S59)</f>
        <v>0</v>
      </c>
      <c r="T60" s="301">
        <f t="shared" si="43"/>
        <v>0</v>
      </c>
      <c r="U60" s="301">
        <f t="shared" si="43"/>
        <v>0</v>
      </c>
      <c r="V60" s="301">
        <f t="shared" si="43"/>
        <v>-951</v>
      </c>
      <c r="W60" s="301">
        <f t="shared" si="43"/>
        <v>-5249</v>
      </c>
      <c r="X60" s="301">
        <f t="shared" si="43"/>
        <v>-1300</v>
      </c>
      <c r="Y60" s="301">
        <f t="shared" si="43"/>
        <v>0</v>
      </c>
      <c r="Z60" s="301">
        <f t="shared" si="43"/>
        <v>0</v>
      </c>
      <c r="AA60" s="301">
        <f t="shared" si="43"/>
        <v>0</v>
      </c>
      <c r="AB60" s="301">
        <f t="shared" si="43"/>
        <v>0</v>
      </c>
      <c r="AC60" s="301">
        <f t="shared" si="43"/>
        <v>0</v>
      </c>
      <c r="AD60" s="301">
        <f t="shared" si="43"/>
        <v>0</v>
      </c>
      <c r="AE60" s="301">
        <f t="shared" si="43"/>
        <v>-7500</v>
      </c>
      <c r="AF60" s="302" t="b">
        <f t="shared" ref="AF60" si="44">AE60=R60</f>
        <v>1</v>
      </c>
      <c r="AG60" s="89"/>
    </row>
    <row r="61" spans="2:33" ht="12.75" customHeight="1" x14ac:dyDescent="0.2">
      <c r="B61" s="237"/>
      <c r="C61" s="329"/>
      <c r="D61" s="330"/>
      <c r="E61" s="345"/>
      <c r="F61" s="331"/>
      <c r="G61" s="235"/>
      <c r="H61" s="184"/>
      <c r="I61" s="230"/>
      <c r="J61" s="374"/>
      <c r="K61" s="374"/>
      <c r="L61" s="374"/>
      <c r="M61" s="374"/>
      <c r="N61" s="374"/>
      <c r="O61" s="374"/>
      <c r="P61" s="220"/>
      <c r="Q61" s="264"/>
      <c r="R61" s="256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04"/>
      <c r="AF61" s="246"/>
      <c r="AG61" s="89"/>
    </row>
    <row r="62" spans="2:33" ht="12.75" customHeight="1" x14ac:dyDescent="0.25">
      <c r="B62" s="239" t="s">
        <v>1033</v>
      </c>
      <c r="C62" s="353"/>
      <c r="D62" s="340"/>
      <c r="E62" s="340"/>
      <c r="F62" s="354"/>
      <c r="G62" s="240"/>
      <c r="H62" s="182"/>
      <c r="I62" s="183"/>
      <c r="J62" s="354"/>
      <c r="K62" s="354"/>
      <c r="L62" s="354"/>
      <c r="M62" s="354"/>
      <c r="N62" s="354"/>
      <c r="O62" s="354"/>
      <c r="P62" s="220"/>
      <c r="Q62" s="261" t="s">
        <v>1033</v>
      </c>
      <c r="R62" s="303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1"/>
      <c r="AF62" s="304"/>
      <c r="AG62" s="89"/>
    </row>
    <row r="63" spans="2:33" ht="12.75" customHeight="1" x14ac:dyDescent="0.2">
      <c r="B63" s="238" t="s">
        <v>1034</v>
      </c>
      <c r="C63" s="343"/>
      <c r="D63" s="330"/>
      <c r="E63" s="345"/>
      <c r="F63" s="344"/>
      <c r="G63" s="241"/>
      <c r="H63" s="182"/>
      <c r="I63" s="183"/>
      <c r="J63" s="376"/>
      <c r="K63" s="376"/>
      <c r="L63" s="376"/>
      <c r="M63" s="376"/>
      <c r="N63" s="376"/>
      <c r="O63" s="376"/>
      <c r="P63" s="220"/>
      <c r="Q63" s="266" t="s">
        <v>1034</v>
      </c>
      <c r="R63" s="255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04"/>
      <c r="AF63" s="246"/>
      <c r="AG63" s="89"/>
    </row>
    <row r="64" spans="2:33" ht="12.75" customHeight="1" x14ac:dyDescent="0.2">
      <c r="B64" s="237" t="s">
        <v>773</v>
      </c>
      <c r="C64" s="329">
        <f>-TB!D75-TB!D76-TB!D77-TB!D78-TB!D79</f>
        <v>-3663.28</v>
      </c>
      <c r="D64" s="330">
        <f>+C64-F64</f>
        <v>128.38999999999987</v>
      </c>
      <c r="E64" s="332">
        <f>IFERROR(ROUND((D64/ABS(F64))*100,0),0)</f>
        <v>3</v>
      </c>
      <c r="F64" s="331">
        <f>ROUND(SUMIF($S$5:$AD$5,"&lt;="&amp;$B$3,S64:AD64),2)</f>
        <v>-3791.67</v>
      </c>
      <c r="G64" s="235">
        <v>-6500</v>
      </c>
      <c r="H64" s="184">
        <f>+C64-I64</f>
        <v>2886.72</v>
      </c>
      <c r="I64" s="230">
        <v>-6550</v>
      </c>
      <c r="J64" s="374">
        <f>R64-C64</f>
        <v>-2836.72</v>
      </c>
      <c r="K64" s="374">
        <f>SUM(Z64:AD64)</f>
        <v>-2708.333333333333</v>
      </c>
      <c r="L64" s="374">
        <f>K64-J64</f>
        <v>128.38666666666677</v>
      </c>
      <c r="M64" s="374">
        <v>-2914</v>
      </c>
      <c r="N64" s="393">
        <f>C64+M64</f>
        <v>-6577.2800000000007</v>
      </c>
      <c r="O64" s="393">
        <f>R64-N64</f>
        <v>77.280000000000655</v>
      </c>
      <c r="P64" s="220"/>
      <c r="Q64" s="264" t="s">
        <v>773</v>
      </c>
      <c r="R64" s="256">
        <v>-6500</v>
      </c>
      <c r="S64" s="212">
        <f t="shared" ref="S64:AD66" si="45">$R64/12</f>
        <v>-541.66666666666663</v>
      </c>
      <c r="T64" s="212">
        <f t="shared" si="45"/>
        <v>-541.66666666666663</v>
      </c>
      <c r="U64" s="212">
        <f t="shared" si="45"/>
        <v>-541.66666666666663</v>
      </c>
      <c r="V64" s="212">
        <f t="shared" si="45"/>
        <v>-541.66666666666663</v>
      </c>
      <c r="W64" s="212">
        <f t="shared" si="45"/>
        <v>-541.66666666666663</v>
      </c>
      <c r="X64" s="212">
        <f t="shared" si="45"/>
        <v>-541.66666666666663</v>
      </c>
      <c r="Y64" s="212">
        <f t="shared" si="45"/>
        <v>-541.66666666666663</v>
      </c>
      <c r="Z64" s="212">
        <f t="shared" si="45"/>
        <v>-541.66666666666663</v>
      </c>
      <c r="AA64" s="212">
        <f t="shared" si="45"/>
        <v>-541.66666666666663</v>
      </c>
      <c r="AB64" s="212">
        <f t="shared" si="45"/>
        <v>-541.66666666666663</v>
      </c>
      <c r="AC64" s="212">
        <f t="shared" si="45"/>
        <v>-541.66666666666663</v>
      </c>
      <c r="AD64" s="212">
        <f t="shared" si="45"/>
        <v>-541.66666666666663</v>
      </c>
      <c r="AE64" s="204">
        <f>SUM(S64:AD64)</f>
        <v>-6500.0000000000009</v>
      </c>
      <c r="AF64" s="246" t="b">
        <f>AE64=R64</f>
        <v>1</v>
      </c>
      <c r="AG64" s="89"/>
    </row>
    <row r="65" spans="1:33" ht="12.75" customHeight="1" x14ac:dyDescent="0.2">
      <c r="B65" s="237" t="s">
        <v>777</v>
      </c>
      <c r="C65" s="329">
        <f>-TB!D94-TB!D93</f>
        <v>-6394.35</v>
      </c>
      <c r="D65" s="330">
        <f>+C65-F65</f>
        <v>2394.1499999999996</v>
      </c>
      <c r="E65" s="332">
        <f>IFERROR(ROUND((D65/ABS(F65))*100,0),0)</f>
        <v>27</v>
      </c>
      <c r="F65" s="331">
        <f>ROUND(SUMIF($S$5:$AD$5,"&lt;="&amp;$B$3,S65:AD65),2)</f>
        <v>-8788.5</v>
      </c>
      <c r="G65" s="235">
        <v>-15066</v>
      </c>
      <c r="H65" s="184">
        <f>+C65-I65</f>
        <v>12605.65</v>
      </c>
      <c r="I65" s="230">
        <v>-19000</v>
      </c>
      <c r="J65" s="374">
        <f>R65-C65</f>
        <v>-8671.65</v>
      </c>
      <c r="K65" s="374">
        <f>SUM(Z65:AD65)</f>
        <v>-6277.5</v>
      </c>
      <c r="L65" s="374">
        <f t="shared" ref="L65:L66" si="46">K65-J65</f>
        <v>2394.1499999999996</v>
      </c>
      <c r="M65" s="374">
        <v>-8718</v>
      </c>
      <c r="N65" s="393">
        <f>C65+M65</f>
        <v>-15112.35</v>
      </c>
      <c r="O65" s="393">
        <f>R65-N65</f>
        <v>46.350000000000364</v>
      </c>
      <c r="P65" s="220"/>
      <c r="Q65" s="264" t="s">
        <v>777</v>
      </c>
      <c r="R65" s="256">
        <v>-15066</v>
      </c>
      <c r="S65" s="212">
        <f t="shared" si="45"/>
        <v>-1255.5</v>
      </c>
      <c r="T65" s="212">
        <f t="shared" si="45"/>
        <v>-1255.5</v>
      </c>
      <c r="U65" s="212">
        <f t="shared" si="45"/>
        <v>-1255.5</v>
      </c>
      <c r="V65" s="212">
        <f t="shared" si="45"/>
        <v>-1255.5</v>
      </c>
      <c r="W65" s="212">
        <f t="shared" si="45"/>
        <v>-1255.5</v>
      </c>
      <c r="X65" s="212">
        <f t="shared" si="45"/>
        <v>-1255.5</v>
      </c>
      <c r="Y65" s="212">
        <f t="shared" si="45"/>
        <v>-1255.5</v>
      </c>
      <c r="Z65" s="212">
        <f t="shared" si="45"/>
        <v>-1255.5</v>
      </c>
      <c r="AA65" s="212">
        <f t="shared" si="45"/>
        <v>-1255.5</v>
      </c>
      <c r="AB65" s="212">
        <f t="shared" si="45"/>
        <v>-1255.5</v>
      </c>
      <c r="AC65" s="212">
        <f t="shared" si="45"/>
        <v>-1255.5</v>
      </c>
      <c r="AD65" s="212">
        <f t="shared" si="45"/>
        <v>-1255.5</v>
      </c>
      <c r="AE65" s="204">
        <f>SUM(S65:AD65)</f>
        <v>-15066</v>
      </c>
      <c r="AF65" s="245" t="b">
        <f>AE65=R65</f>
        <v>1</v>
      </c>
      <c r="AG65" s="89"/>
    </row>
    <row r="66" spans="1:33" ht="12.75" customHeight="1" x14ac:dyDescent="0.2">
      <c r="B66" s="237" t="s">
        <v>771</v>
      </c>
      <c r="C66" s="329">
        <f>-TB!D80-TB!D91-TB!D82-TB!D81</f>
        <v>-2556.6</v>
      </c>
      <c r="D66" s="330">
        <f>+C66-F66</f>
        <v>360.07000000000016</v>
      </c>
      <c r="E66" s="332">
        <f>IFERROR(ROUND((D66/ABS(F66))*100,0),0)</f>
        <v>12</v>
      </c>
      <c r="F66" s="331">
        <f>ROUND(SUMIF($S$5:$AD$5,"&lt;="&amp;$B$3,S66:AD66),2)</f>
        <v>-2916.67</v>
      </c>
      <c r="G66" s="235">
        <v>-5000</v>
      </c>
      <c r="H66" s="184">
        <f>+C66-I66</f>
        <v>1467.3899999999999</v>
      </c>
      <c r="I66" s="230">
        <v>-4023.99</v>
      </c>
      <c r="J66" s="374">
        <f>R66-C66</f>
        <v>-2443.4</v>
      </c>
      <c r="K66" s="374">
        <f>SUM(Z66:AD66)</f>
        <v>-2083.3333333333335</v>
      </c>
      <c r="L66" s="374">
        <f t="shared" si="46"/>
        <v>360.06666666666661</v>
      </c>
      <c r="M66" s="374">
        <v>-2443</v>
      </c>
      <c r="N66" s="393">
        <f>C66+M66</f>
        <v>-4999.6000000000004</v>
      </c>
      <c r="O66" s="393">
        <f>R66-N66</f>
        <v>-0.3999999999996362</v>
      </c>
      <c r="P66" s="220"/>
      <c r="Q66" s="264" t="s">
        <v>771</v>
      </c>
      <c r="R66" s="256">
        <v>-5000</v>
      </c>
      <c r="S66" s="212">
        <f t="shared" si="45"/>
        <v>-416.66666666666669</v>
      </c>
      <c r="T66" s="212">
        <f t="shared" si="45"/>
        <v>-416.66666666666669</v>
      </c>
      <c r="U66" s="212">
        <f t="shared" si="45"/>
        <v>-416.66666666666669</v>
      </c>
      <c r="V66" s="212">
        <f t="shared" si="45"/>
        <v>-416.66666666666669</v>
      </c>
      <c r="W66" s="212">
        <f t="shared" si="45"/>
        <v>-416.66666666666669</v>
      </c>
      <c r="X66" s="212">
        <f t="shared" si="45"/>
        <v>-416.66666666666669</v>
      </c>
      <c r="Y66" s="212">
        <f t="shared" si="45"/>
        <v>-416.66666666666669</v>
      </c>
      <c r="Z66" s="212">
        <f t="shared" si="45"/>
        <v>-416.66666666666669</v>
      </c>
      <c r="AA66" s="212">
        <f t="shared" si="45"/>
        <v>-416.66666666666669</v>
      </c>
      <c r="AB66" s="212">
        <f t="shared" si="45"/>
        <v>-416.66666666666669</v>
      </c>
      <c r="AC66" s="212">
        <f t="shared" si="45"/>
        <v>-416.66666666666669</v>
      </c>
      <c r="AD66" s="212">
        <f t="shared" si="45"/>
        <v>-416.66666666666669</v>
      </c>
      <c r="AE66" s="204">
        <f>SUM(S66:AD66)</f>
        <v>-5000</v>
      </c>
      <c r="AF66" s="245" t="b">
        <f>AE66=R66</f>
        <v>1</v>
      </c>
      <c r="AG66" s="89"/>
    </row>
    <row r="67" spans="1:33" ht="12.75" customHeight="1" x14ac:dyDescent="0.2">
      <c r="B67" s="237"/>
      <c r="C67" s="358"/>
      <c r="D67" s="330"/>
      <c r="E67" s="360"/>
      <c r="F67" s="359"/>
      <c r="G67" s="242"/>
      <c r="H67" s="188"/>
      <c r="I67" s="181"/>
      <c r="J67" s="377"/>
      <c r="K67" s="377"/>
      <c r="L67" s="377"/>
      <c r="M67" s="377"/>
      <c r="N67" s="377"/>
      <c r="O67" s="377"/>
      <c r="P67" s="201"/>
      <c r="Q67" s="264"/>
      <c r="R67" s="257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13"/>
      <c r="AF67" s="245"/>
      <c r="AG67" s="89"/>
    </row>
    <row r="68" spans="1:33" ht="12.75" customHeight="1" x14ac:dyDescent="0.2">
      <c r="B68" s="238" t="s">
        <v>1035</v>
      </c>
      <c r="C68" s="358"/>
      <c r="D68" s="330"/>
      <c r="E68" s="360"/>
      <c r="F68" s="359"/>
      <c r="G68" s="242"/>
      <c r="H68" s="188"/>
      <c r="I68" s="181"/>
      <c r="J68" s="377"/>
      <c r="K68" s="377"/>
      <c r="L68" s="377"/>
      <c r="M68" s="377"/>
      <c r="N68" s="377"/>
      <c r="O68" s="377"/>
      <c r="P68" s="201"/>
      <c r="Q68" s="266" t="s">
        <v>1035</v>
      </c>
      <c r="R68" s="257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13"/>
      <c r="AF68" s="245"/>
      <c r="AG68" s="89"/>
    </row>
    <row r="69" spans="1:33" ht="12.75" customHeight="1" x14ac:dyDescent="0.2">
      <c r="B69" s="237" t="s">
        <v>778</v>
      </c>
      <c r="C69" s="329">
        <f>-TB!D68-TB!D84-TB!D85-TB!D86</f>
        <v>-2729.5299999999997</v>
      </c>
      <c r="D69" s="330">
        <f>+C69-F69</f>
        <v>770.47000000000025</v>
      </c>
      <c r="E69" s="332">
        <f>IFERROR(ROUND((D69/ABS(F69))*100,0),0)</f>
        <v>22</v>
      </c>
      <c r="F69" s="331">
        <f>ROUND(SUMIF($S$5:$AD$5,"&lt;="&amp;$B$3,S69:AD69),2)</f>
        <v>-3500</v>
      </c>
      <c r="G69" s="235">
        <v>-6000</v>
      </c>
      <c r="H69" s="184">
        <f>+C69-I69</f>
        <v>3270.4700000000003</v>
      </c>
      <c r="I69" s="230">
        <v>-6000</v>
      </c>
      <c r="J69" s="374">
        <f>R69-C69</f>
        <v>-3270.4700000000003</v>
      </c>
      <c r="K69" s="374">
        <f>SUM(Z69:AD69)</f>
        <v>-2500</v>
      </c>
      <c r="L69" s="374">
        <f t="shared" ref="L69" si="47">K69-J69</f>
        <v>770.47000000000025</v>
      </c>
      <c r="M69" s="374">
        <v>-3270</v>
      </c>
      <c r="N69" s="393">
        <f>C69+M69</f>
        <v>-5999.53</v>
      </c>
      <c r="O69" s="393">
        <f>R69-N69</f>
        <v>-0.47000000000025466</v>
      </c>
      <c r="P69" s="220"/>
      <c r="Q69" s="264" t="s">
        <v>778</v>
      </c>
      <c r="R69" s="256">
        <v>-6000</v>
      </c>
      <c r="S69" s="212">
        <f t="shared" ref="S69:AD69" si="48">$R69/12</f>
        <v>-500</v>
      </c>
      <c r="T69" s="212">
        <f t="shared" si="48"/>
        <v>-500</v>
      </c>
      <c r="U69" s="212">
        <f t="shared" si="48"/>
        <v>-500</v>
      </c>
      <c r="V69" s="212">
        <f t="shared" si="48"/>
        <v>-500</v>
      </c>
      <c r="W69" s="212">
        <f t="shared" si="48"/>
        <v>-500</v>
      </c>
      <c r="X69" s="212">
        <f t="shared" si="48"/>
        <v>-500</v>
      </c>
      <c r="Y69" s="212">
        <f t="shared" si="48"/>
        <v>-500</v>
      </c>
      <c r="Z69" s="212">
        <f t="shared" si="48"/>
        <v>-500</v>
      </c>
      <c r="AA69" s="212">
        <f t="shared" si="48"/>
        <v>-500</v>
      </c>
      <c r="AB69" s="212">
        <f t="shared" si="48"/>
        <v>-500</v>
      </c>
      <c r="AC69" s="212">
        <f t="shared" si="48"/>
        <v>-500</v>
      </c>
      <c r="AD69" s="212">
        <f t="shared" si="48"/>
        <v>-500</v>
      </c>
      <c r="AE69" s="204">
        <f>SUM(S69:AD69)</f>
        <v>-6000</v>
      </c>
      <c r="AF69" s="245" t="b">
        <f>AE69=R69</f>
        <v>1</v>
      </c>
      <c r="AG69" s="89"/>
    </row>
    <row r="70" spans="1:33" ht="12.75" customHeight="1" x14ac:dyDescent="0.2">
      <c r="B70" s="237"/>
      <c r="C70" s="329"/>
      <c r="D70" s="330"/>
      <c r="E70" s="332"/>
      <c r="F70" s="331"/>
      <c r="G70" s="235"/>
      <c r="H70" s="184"/>
      <c r="I70" s="230"/>
      <c r="J70" s="374"/>
      <c r="K70" s="374"/>
      <c r="L70" s="374"/>
      <c r="M70" s="374"/>
      <c r="N70" s="374"/>
      <c r="O70" s="374"/>
      <c r="P70" s="220"/>
      <c r="Q70" s="264"/>
      <c r="R70" s="256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04"/>
      <c r="AF70" s="245"/>
      <c r="AG70" s="89"/>
    </row>
    <row r="71" spans="1:33" ht="12.75" customHeight="1" x14ac:dyDescent="0.2">
      <c r="B71" s="238" t="s">
        <v>97</v>
      </c>
      <c r="C71" s="329"/>
      <c r="D71" s="330"/>
      <c r="E71" s="332"/>
      <c r="F71" s="331"/>
      <c r="G71" s="235"/>
      <c r="H71" s="184"/>
      <c r="I71" s="230"/>
      <c r="J71" s="374"/>
      <c r="K71" s="374"/>
      <c r="L71" s="374"/>
      <c r="M71" s="374"/>
      <c r="N71" s="374"/>
      <c r="O71" s="374"/>
      <c r="P71" s="220"/>
      <c r="Q71" s="266" t="s">
        <v>97</v>
      </c>
      <c r="R71" s="256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04"/>
      <c r="AF71" s="245"/>
      <c r="AG71" s="89"/>
    </row>
    <row r="72" spans="1:33" ht="12.75" customHeight="1" x14ac:dyDescent="0.2">
      <c r="B72" s="237" t="s">
        <v>97</v>
      </c>
      <c r="C72" s="329">
        <f>-TB!D92</f>
        <v>-24167</v>
      </c>
      <c r="D72" s="330">
        <f>+C72-F72</f>
        <v>-3549.6699999999983</v>
      </c>
      <c r="E72" s="332">
        <f>IFERROR(ROUND((D72/ABS(F72))*100,0),0)</f>
        <v>-17</v>
      </c>
      <c r="F72" s="331">
        <f>ROUND(SUMIF($S$5:$AD$5,"&lt;="&amp;$B$3,S72:AD72),2)</f>
        <v>-20617.330000000002</v>
      </c>
      <c r="G72" s="235">
        <v>-35344</v>
      </c>
      <c r="H72" s="184">
        <f>+C72-I72</f>
        <v>3449</v>
      </c>
      <c r="I72" s="230">
        <v>-27616</v>
      </c>
      <c r="J72" s="374">
        <f>R72-C72</f>
        <v>-11177</v>
      </c>
      <c r="K72" s="374">
        <f>SUM(Z72:AD72)</f>
        <v>-14726.666666666668</v>
      </c>
      <c r="L72" s="374">
        <f t="shared" ref="L72" si="49">K72-J72</f>
        <v>-3549.6666666666679</v>
      </c>
      <c r="M72" s="374">
        <v>-15677</v>
      </c>
      <c r="N72" s="393">
        <f>C72+M72</f>
        <v>-39844</v>
      </c>
      <c r="O72" s="393">
        <f>R72-N72</f>
        <v>4500</v>
      </c>
      <c r="P72" s="220"/>
      <c r="Q72" s="264" t="s">
        <v>97</v>
      </c>
      <c r="R72" s="256">
        <v>-35344</v>
      </c>
      <c r="S72" s="212">
        <f t="shared" ref="S72:AD72" si="50">$R72/12</f>
        <v>-2945.3333333333335</v>
      </c>
      <c r="T72" s="212">
        <f t="shared" si="50"/>
        <v>-2945.3333333333335</v>
      </c>
      <c r="U72" s="212">
        <f t="shared" si="50"/>
        <v>-2945.3333333333335</v>
      </c>
      <c r="V72" s="212">
        <f t="shared" si="50"/>
        <v>-2945.3333333333335</v>
      </c>
      <c r="W72" s="212">
        <f t="shared" si="50"/>
        <v>-2945.3333333333335</v>
      </c>
      <c r="X72" s="212">
        <f t="shared" si="50"/>
        <v>-2945.3333333333335</v>
      </c>
      <c r="Y72" s="212">
        <f t="shared" si="50"/>
        <v>-2945.3333333333335</v>
      </c>
      <c r="Z72" s="212">
        <f t="shared" si="50"/>
        <v>-2945.3333333333335</v>
      </c>
      <c r="AA72" s="212">
        <f t="shared" si="50"/>
        <v>-2945.3333333333335</v>
      </c>
      <c r="AB72" s="212">
        <f t="shared" si="50"/>
        <v>-2945.3333333333335</v>
      </c>
      <c r="AC72" s="212">
        <f t="shared" si="50"/>
        <v>-2945.3333333333335</v>
      </c>
      <c r="AD72" s="212">
        <f t="shared" si="50"/>
        <v>-2945.3333333333335</v>
      </c>
      <c r="AE72" s="204">
        <f>SUM(S72:AD72)</f>
        <v>-35343.999999999993</v>
      </c>
      <c r="AF72" s="245" t="b">
        <f>AE72=R72</f>
        <v>1</v>
      </c>
      <c r="AG72" s="89"/>
    </row>
    <row r="73" spans="1:33" ht="12.75" customHeight="1" x14ac:dyDescent="0.2">
      <c r="B73" s="237"/>
      <c r="C73" s="358"/>
      <c r="D73" s="330"/>
      <c r="E73" s="360"/>
      <c r="F73" s="359"/>
      <c r="G73" s="242"/>
      <c r="H73" s="188"/>
      <c r="I73" s="181"/>
      <c r="J73" s="377"/>
      <c r="K73" s="377"/>
      <c r="L73" s="377"/>
      <c r="M73" s="377"/>
      <c r="N73" s="377"/>
      <c r="O73" s="377"/>
      <c r="P73" s="201"/>
      <c r="Q73" s="264"/>
      <c r="R73" s="257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13"/>
      <c r="AF73" s="245"/>
      <c r="AG73" s="89"/>
    </row>
    <row r="74" spans="1:33" ht="12.75" customHeight="1" x14ac:dyDescent="0.2">
      <c r="B74" s="238" t="s">
        <v>1036</v>
      </c>
      <c r="C74" s="358"/>
      <c r="D74" s="330"/>
      <c r="E74" s="360"/>
      <c r="F74" s="359"/>
      <c r="G74" s="242"/>
      <c r="H74" s="188"/>
      <c r="I74" s="181"/>
      <c r="J74" s="377"/>
      <c r="K74" s="377"/>
      <c r="L74" s="377"/>
      <c r="M74" s="377"/>
      <c r="N74" s="377"/>
      <c r="O74" s="377"/>
      <c r="P74" s="201"/>
      <c r="Q74" s="266" t="s">
        <v>1036</v>
      </c>
      <c r="R74" s="257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13"/>
      <c r="AF74" s="245"/>
      <c r="AG74" s="89"/>
    </row>
    <row r="75" spans="1:33" ht="12.75" customHeight="1" x14ac:dyDescent="0.2">
      <c r="B75" s="237" t="s">
        <v>1039</v>
      </c>
      <c r="C75" s="329">
        <f>R75/12*C2</f>
        <v>-4958.3333333333339</v>
      </c>
      <c r="D75" s="330">
        <f>+C75-F75</f>
        <v>0</v>
      </c>
      <c r="E75" s="360"/>
      <c r="F75" s="331">
        <f>R75/12*C2</f>
        <v>-4958.3333333333339</v>
      </c>
      <c r="G75" s="243">
        <f>R75</f>
        <v>-8500</v>
      </c>
      <c r="H75" s="188"/>
      <c r="I75" s="181"/>
      <c r="J75" s="374">
        <f>R75-C75</f>
        <v>-3541.6666666666661</v>
      </c>
      <c r="K75" s="374">
        <f>SUM(Z75:AD75)</f>
        <v>-3541.666666666667</v>
      </c>
      <c r="L75" s="374">
        <f t="shared" ref="L75" si="51">K75-J75</f>
        <v>0</v>
      </c>
      <c r="M75" s="374">
        <v>-3542</v>
      </c>
      <c r="N75" s="393">
        <f>C75+M75</f>
        <v>-8500.3333333333339</v>
      </c>
      <c r="O75" s="393">
        <f>R75-N75</f>
        <v>0.33333333333393966</v>
      </c>
      <c r="P75" s="201"/>
      <c r="Q75" s="264" t="s">
        <v>1039</v>
      </c>
      <c r="R75" s="256">
        <v>-8500</v>
      </c>
      <c r="S75" s="212">
        <f t="shared" ref="S75:AD75" si="52">$R75/12</f>
        <v>-708.33333333333337</v>
      </c>
      <c r="T75" s="212">
        <f t="shared" si="52"/>
        <v>-708.33333333333337</v>
      </c>
      <c r="U75" s="212">
        <f t="shared" si="52"/>
        <v>-708.33333333333337</v>
      </c>
      <c r="V75" s="212">
        <f t="shared" si="52"/>
        <v>-708.33333333333337</v>
      </c>
      <c r="W75" s="212">
        <f t="shared" si="52"/>
        <v>-708.33333333333337</v>
      </c>
      <c r="X75" s="212">
        <f t="shared" si="52"/>
        <v>-708.33333333333337</v>
      </c>
      <c r="Y75" s="212">
        <f t="shared" si="52"/>
        <v>-708.33333333333337</v>
      </c>
      <c r="Z75" s="212">
        <f t="shared" si="52"/>
        <v>-708.33333333333337</v>
      </c>
      <c r="AA75" s="212">
        <f t="shared" si="52"/>
        <v>-708.33333333333337</v>
      </c>
      <c r="AB75" s="212">
        <f t="shared" si="52"/>
        <v>-708.33333333333337</v>
      </c>
      <c r="AC75" s="212">
        <f t="shared" si="52"/>
        <v>-708.33333333333337</v>
      </c>
      <c r="AD75" s="212">
        <f t="shared" si="52"/>
        <v>-708.33333333333337</v>
      </c>
      <c r="AE75" s="204">
        <f>SUM(S75:AD75)</f>
        <v>-8499.9999999999982</v>
      </c>
      <c r="AF75" s="245" t="b">
        <f>AE75=R75</f>
        <v>1</v>
      </c>
      <c r="AG75" s="89"/>
    </row>
    <row r="76" spans="1:33" ht="12.75" customHeight="1" x14ac:dyDescent="0.2">
      <c r="B76" s="237"/>
      <c r="C76" s="329"/>
      <c r="D76" s="330"/>
      <c r="E76" s="332"/>
      <c r="F76" s="331"/>
      <c r="G76" s="235"/>
      <c r="H76" s="184">
        <f>+C76-I76</f>
        <v>45000</v>
      </c>
      <c r="I76" s="230">
        <v>-45000</v>
      </c>
      <c r="J76" s="374"/>
      <c r="K76" s="374"/>
      <c r="L76" s="374"/>
      <c r="M76" s="374"/>
      <c r="N76" s="374"/>
      <c r="O76" s="374"/>
      <c r="P76" s="220"/>
      <c r="Q76" s="267"/>
      <c r="R76" s="258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49"/>
      <c r="AG76" s="89"/>
    </row>
    <row r="77" spans="1:33" ht="12.75" customHeight="1" x14ac:dyDescent="0.2">
      <c r="B77" s="238" t="s">
        <v>1037</v>
      </c>
      <c r="C77" s="358"/>
      <c r="D77" s="330"/>
      <c r="E77" s="360"/>
      <c r="F77" s="359"/>
      <c r="G77" s="242"/>
      <c r="H77" s="188"/>
      <c r="I77" s="181"/>
      <c r="J77" s="377"/>
      <c r="K77" s="377"/>
      <c r="L77" s="377"/>
      <c r="M77" s="377"/>
      <c r="N77" s="377"/>
      <c r="O77" s="377"/>
      <c r="P77" s="201"/>
      <c r="Q77" s="266" t="s">
        <v>1037</v>
      </c>
      <c r="R77" s="257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13"/>
      <c r="AF77" s="245"/>
      <c r="AG77" s="89"/>
    </row>
    <row r="78" spans="1:33" ht="12.75" customHeight="1" x14ac:dyDescent="0.2">
      <c r="B78" s="237" t="s">
        <v>930</v>
      </c>
      <c r="C78" s="329">
        <f>-TB!D110-TB!C112</f>
        <v>-236.79</v>
      </c>
      <c r="D78" s="330">
        <f t="shared" si="34"/>
        <v>-236.79</v>
      </c>
      <c r="E78" s="332">
        <f t="shared" si="18"/>
        <v>0</v>
      </c>
      <c r="F78" s="331">
        <f>ROUND(SUMIF($S$5:$AD$5,"&lt;="&amp;$B$3,S78:AD78),2)</f>
        <v>0</v>
      </c>
      <c r="G78" s="235">
        <v>0</v>
      </c>
      <c r="H78" s="184">
        <f>+C78-I78</f>
        <v>8671.9</v>
      </c>
      <c r="I78" s="230">
        <v>-8908.69</v>
      </c>
      <c r="J78" s="422">
        <f>R78-C78</f>
        <v>236.79</v>
      </c>
      <c r="K78" s="374">
        <f>SUM(Z78:AD78)</f>
        <v>0</v>
      </c>
      <c r="L78" s="374">
        <f t="shared" ref="L78" si="53">K78-J78</f>
        <v>-236.79</v>
      </c>
      <c r="M78" s="374">
        <v>0</v>
      </c>
      <c r="N78" s="393">
        <f>C78+M78</f>
        <v>-236.79</v>
      </c>
      <c r="O78" s="393">
        <f>R78-N78</f>
        <v>236.79</v>
      </c>
      <c r="P78" s="220"/>
      <c r="Q78" s="264" t="s">
        <v>930</v>
      </c>
      <c r="R78" s="259">
        <v>0</v>
      </c>
      <c r="S78" s="212">
        <f t="shared" ref="S78:AD78" si="54">$R78/12</f>
        <v>0</v>
      </c>
      <c r="T78" s="212">
        <f t="shared" si="54"/>
        <v>0</v>
      </c>
      <c r="U78" s="212">
        <f t="shared" si="54"/>
        <v>0</v>
      </c>
      <c r="V78" s="212">
        <f t="shared" si="54"/>
        <v>0</v>
      </c>
      <c r="W78" s="212">
        <f t="shared" si="54"/>
        <v>0</v>
      </c>
      <c r="X78" s="212">
        <f t="shared" si="54"/>
        <v>0</v>
      </c>
      <c r="Y78" s="212">
        <f t="shared" si="54"/>
        <v>0</v>
      </c>
      <c r="Z78" s="212">
        <f t="shared" si="54"/>
        <v>0</v>
      </c>
      <c r="AA78" s="212">
        <f t="shared" si="54"/>
        <v>0</v>
      </c>
      <c r="AB78" s="212">
        <f t="shared" si="54"/>
        <v>0</v>
      </c>
      <c r="AC78" s="212">
        <f t="shared" si="54"/>
        <v>0</v>
      </c>
      <c r="AD78" s="212">
        <f t="shared" si="54"/>
        <v>0</v>
      </c>
      <c r="AE78" s="204">
        <f t="shared" ref="AE78" si="55">SUM(S78:AD78)</f>
        <v>0</v>
      </c>
      <c r="AF78" s="245" t="b">
        <f t="shared" ref="AF78:AF79" si="56">AE78=R78</f>
        <v>1</v>
      </c>
      <c r="AG78" s="89"/>
    </row>
    <row r="79" spans="1:33" ht="12.75" customHeight="1" thickBot="1" x14ac:dyDescent="0.3">
      <c r="B79" s="239" t="s">
        <v>1048</v>
      </c>
      <c r="C79" s="361">
        <f>SUM(C64:C78)</f>
        <v>-44705.883333333339</v>
      </c>
      <c r="D79" s="334">
        <f>+C79-F79</f>
        <v>-133.38000000000466</v>
      </c>
      <c r="E79" s="357">
        <f>SUM(E64:E78)</f>
        <v>47</v>
      </c>
      <c r="F79" s="357">
        <f>SUM(F64:F78)</f>
        <v>-44572.503333333334</v>
      </c>
      <c r="G79" s="240"/>
      <c r="H79" s="182"/>
      <c r="I79" s="183"/>
      <c r="J79" s="357">
        <f>SUM(J64:J78)</f>
        <v>-31704.116666666661</v>
      </c>
      <c r="K79" s="357">
        <f>SUM(K64:K78)</f>
        <v>-31837.500000000004</v>
      </c>
      <c r="L79" s="357">
        <f t="shared" ref="L79:M79" si="57">SUM(L64:L78)</f>
        <v>-133.3833333333346</v>
      </c>
      <c r="M79" s="357">
        <f t="shared" si="57"/>
        <v>-36564</v>
      </c>
      <c r="N79" s="357">
        <f t="shared" ref="N79" si="58">SUM(N64:N78)</f>
        <v>-81269.883333333331</v>
      </c>
      <c r="O79" s="357">
        <f>R79-N79</f>
        <v>4859.8833333333314</v>
      </c>
      <c r="P79" s="220"/>
      <c r="Q79" s="261" t="s">
        <v>1048</v>
      </c>
      <c r="R79" s="301">
        <f>SUM(R63:R78)</f>
        <v>-76410</v>
      </c>
      <c r="S79" s="301">
        <f t="shared" ref="S79:AE79" si="59">SUM(S63:S78)</f>
        <v>-6367.4999999999991</v>
      </c>
      <c r="T79" s="301">
        <f t="shared" si="59"/>
        <v>-6367.4999999999991</v>
      </c>
      <c r="U79" s="301">
        <f t="shared" si="59"/>
        <v>-6367.4999999999991</v>
      </c>
      <c r="V79" s="301">
        <f t="shared" si="59"/>
        <v>-6367.4999999999991</v>
      </c>
      <c r="W79" s="301">
        <f t="shared" si="59"/>
        <v>-6367.4999999999991</v>
      </c>
      <c r="X79" s="301">
        <f t="shared" si="59"/>
        <v>-6367.4999999999991</v>
      </c>
      <c r="Y79" s="301">
        <f t="shared" si="59"/>
        <v>-6367.4999999999991</v>
      </c>
      <c r="Z79" s="301">
        <f t="shared" si="59"/>
        <v>-6367.4999999999991</v>
      </c>
      <c r="AA79" s="301">
        <f t="shared" si="59"/>
        <v>-6367.4999999999991</v>
      </c>
      <c r="AB79" s="301">
        <f t="shared" si="59"/>
        <v>-6367.4999999999991</v>
      </c>
      <c r="AC79" s="301">
        <f t="shared" si="59"/>
        <v>-6367.4999999999991</v>
      </c>
      <c r="AD79" s="301">
        <f t="shared" si="59"/>
        <v>-6367.4999999999991</v>
      </c>
      <c r="AE79" s="301">
        <f t="shared" si="59"/>
        <v>-76410</v>
      </c>
      <c r="AF79" s="302" t="b">
        <f t="shared" si="56"/>
        <v>1</v>
      </c>
      <c r="AG79" s="89"/>
    </row>
    <row r="80" spans="1:33" s="194" customFormat="1" ht="21.75" customHeight="1" thickBot="1" x14ac:dyDescent="0.35">
      <c r="A80" s="203"/>
      <c r="B80" s="276" t="s">
        <v>1042</v>
      </c>
      <c r="C80" s="351">
        <f>C56+C60+C79</f>
        <v>-116004.61333333334</v>
      </c>
      <c r="D80" s="351">
        <f t="shared" si="34"/>
        <v>6592.8899999999849</v>
      </c>
      <c r="E80" s="351">
        <f t="shared" si="18"/>
        <v>5</v>
      </c>
      <c r="F80" s="352">
        <f>F56+F60+F79</f>
        <v>-122597.50333333333</v>
      </c>
      <c r="G80" s="297">
        <f>SUM(G48:G79)</f>
        <v>-204810</v>
      </c>
      <c r="H80" s="278">
        <f>SUBTOTAL(9,H48:H79)</f>
        <v>138537.4</v>
      </c>
      <c r="I80" s="279">
        <f>SUBTOTAL(9,I48:I79)</f>
        <v>-246958.68</v>
      </c>
      <c r="J80" s="375">
        <f>J56+J60+J79</f>
        <v>-88805.386666666658</v>
      </c>
      <c r="K80" s="375">
        <f>K56+K60+K79</f>
        <v>-82212.500000000015</v>
      </c>
      <c r="L80" s="375">
        <f t="shared" ref="L80:M80" si="60">L56+L60+L79</f>
        <v>5089.146666666662</v>
      </c>
      <c r="M80" s="375">
        <f t="shared" si="60"/>
        <v>-84479</v>
      </c>
      <c r="N80" s="375">
        <f t="shared" ref="N80" si="61">N56+N60+N79</f>
        <v>-200483.61333333334</v>
      </c>
      <c r="O80" s="393">
        <f>R80-N80</f>
        <v>-4326.3866666666581</v>
      </c>
      <c r="P80" s="219"/>
      <c r="Q80" s="276" t="s">
        <v>1038</v>
      </c>
      <c r="R80" s="295">
        <f>R56+R60+R79</f>
        <v>-204810</v>
      </c>
      <c r="S80" s="295">
        <f t="shared" ref="S80:AE80" si="62">S56+S60+S79</f>
        <v>-16442.5</v>
      </c>
      <c r="T80" s="295">
        <f t="shared" si="62"/>
        <v>-16442.5</v>
      </c>
      <c r="U80" s="295">
        <f t="shared" si="62"/>
        <v>-16442.5</v>
      </c>
      <c r="V80" s="295">
        <f t="shared" si="62"/>
        <v>-17393.5</v>
      </c>
      <c r="W80" s="295">
        <f t="shared" si="62"/>
        <v>-21691.5</v>
      </c>
      <c r="X80" s="295">
        <f t="shared" si="62"/>
        <v>-17742.5</v>
      </c>
      <c r="Y80" s="295">
        <f t="shared" si="62"/>
        <v>-16442.5</v>
      </c>
      <c r="Z80" s="295">
        <f t="shared" si="62"/>
        <v>-16442.5</v>
      </c>
      <c r="AA80" s="295">
        <f t="shared" si="62"/>
        <v>-16442.5</v>
      </c>
      <c r="AB80" s="295">
        <f t="shared" si="62"/>
        <v>-16442.5</v>
      </c>
      <c r="AC80" s="295">
        <f t="shared" si="62"/>
        <v>-16442.5</v>
      </c>
      <c r="AD80" s="295">
        <f t="shared" si="62"/>
        <v>-16442.5</v>
      </c>
      <c r="AE80" s="295">
        <f t="shared" si="62"/>
        <v>-204810</v>
      </c>
      <c r="AF80" s="297" t="b">
        <f>AE80=R80</f>
        <v>1</v>
      </c>
      <c r="AG80" s="193"/>
    </row>
    <row r="81" spans="2:33" ht="12.75" customHeight="1" thickBot="1" x14ac:dyDescent="0.25">
      <c r="B81" s="199"/>
      <c r="C81" s="362"/>
      <c r="D81" s="396"/>
      <c r="E81" s="396"/>
      <c r="F81" s="396"/>
      <c r="G81" s="397"/>
      <c r="H81" s="398"/>
      <c r="I81" s="399"/>
      <c r="J81" s="396"/>
      <c r="K81" s="396"/>
      <c r="L81" s="362"/>
      <c r="M81" s="396"/>
      <c r="N81" s="396"/>
      <c r="O81" s="396"/>
      <c r="P81" s="220"/>
      <c r="Q81" s="400"/>
      <c r="R81" s="401"/>
      <c r="S81" s="402"/>
      <c r="T81" s="402"/>
      <c r="U81" s="402"/>
      <c r="V81" s="402"/>
      <c r="W81" s="402"/>
      <c r="X81" s="402"/>
      <c r="Y81" s="402"/>
      <c r="Z81" s="402"/>
      <c r="AA81" s="402"/>
      <c r="AB81" s="402"/>
      <c r="AC81" s="402"/>
      <c r="AD81" s="402"/>
      <c r="AE81" s="403"/>
      <c r="AF81" s="201"/>
      <c r="AG81" s="89"/>
    </row>
    <row r="82" spans="2:33" ht="12.75" customHeight="1" thickBot="1" x14ac:dyDescent="0.25">
      <c r="B82" s="315" t="s">
        <v>956</v>
      </c>
      <c r="C82" s="321">
        <f>C43+C80+C25</f>
        <v>68187.789999999964</v>
      </c>
      <c r="D82" s="321">
        <f>+C82-F82</f>
        <v>25703.173333333281</v>
      </c>
      <c r="E82" s="321">
        <f>+E80+E43</f>
        <v>5</v>
      </c>
      <c r="F82" s="321">
        <f>F43+F80+F25</f>
        <v>42484.616666666683</v>
      </c>
      <c r="G82" s="272">
        <f>G43+G80</f>
        <v>275190</v>
      </c>
      <c r="H82" s="195">
        <f>+H80+H43</f>
        <v>69493.889999999985</v>
      </c>
      <c r="I82" s="195">
        <f>+I80+I43</f>
        <v>-69081.960000000021</v>
      </c>
      <c r="J82" s="379">
        <f>J43+J80+J25</f>
        <v>-44497.789999999979</v>
      </c>
      <c r="K82" s="379">
        <f>K43+K80+K25</f>
        <v>-18794.623333333329</v>
      </c>
      <c r="L82" s="379">
        <f t="shared" ref="L82:M82" si="63">L43+L80+L25</f>
        <v>24199.42666666667</v>
      </c>
      <c r="M82" s="379">
        <f t="shared" si="63"/>
        <v>-42013</v>
      </c>
      <c r="N82" s="379">
        <f t="shared" ref="N82" si="64">N43+N80+N25</f>
        <v>26174.789999999994</v>
      </c>
      <c r="O82" s="393">
        <f>R82-N82</f>
        <v>-2484.7899999999936</v>
      </c>
      <c r="P82" s="201"/>
      <c r="Q82" s="273" t="s">
        <v>956</v>
      </c>
      <c r="R82" s="271">
        <f>R43+R80+R25</f>
        <v>23690</v>
      </c>
      <c r="S82" s="271">
        <f t="shared" ref="S82:AE82" si="65">S43+S80+S25</f>
        <v>-7734.1666666666679</v>
      </c>
      <c r="T82" s="271">
        <f t="shared" si="65"/>
        <v>65533.343333333323</v>
      </c>
      <c r="U82" s="271">
        <f t="shared" si="65"/>
        <v>7691.5433333333349</v>
      </c>
      <c r="V82" s="271">
        <f t="shared" si="65"/>
        <v>-6019.9666666666672</v>
      </c>
      <c r="W82" s="271">
        <f t="shared" si="65"/>
        <v>-8771.0366666666669</v>
      </c>
      <c r="X82" s="271">
        <f t="shared" si="65"/>
        <v>-5356.1666666666679</v>
      </c>
      <c r="Y82" s="271">
        <f t="shared" si="65"/>
        <v>-2858.9266666666681</v>
      </c>
      <c r="Z82" s="271">
        <f t="shared" si="65"/>
        <v>-4358.9266666666681</v>
      </c>
      <c r="AA82" s="271">
        <f t="shared" si="65"/>
        <v>-4358.9266666666681</v>
      </c>
      <c r="AB82" s="271">
        <f t="shared" si="65"/>
        <v>-2858.9266666666681</v>
      </c>
      <c r="AC82" s="271">
        <f t="shared" si="65"/>
        <v>-4358.9266666666681</v>
      </c>
      <c r="AD82" s="271">
        <f t="shared" si="65"/>
        <v>-2858.9166666666679</v>
      </c>
      <c r="AE82" s="271">
        <f t="shared" si="65"/>
        <v>23690.000000000058</v>
      </c>
      <c r="AF82" s="297">
        <f>AE82-R82</f>
        <v>5.8207660913467407E-11</v>
      </c>
      <c r="AG82" s="89"/>
    </row>
    <row r="83" spans="2:33" ht="12.75" customHeight="1" x14ac:dyDescent="0.2">
      <c r="B83" s="90"/>
      <c r="C83" s="363"/>
      <c r="D83" s="363"/>
      <c r="E83" s="363"/>
      <c r="F83" s="363"/>
      <c r="G83" s="90"/>
      <c r="H83" s="189"/>
      <c r="I83" s="90"/>
      <c r="J83" s="363"/>
      <c r="K83" s="363"/>
      <c r="L83" s="363"/>
      <c r="M83" s="363"/>
      <c r="N83" s="363"/>
      <c r="O83" s="363"/>
      <c r="P83" s="190"/>
      <c r="Q83" s="190"/>
      <c r="R83" s="215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80"/>
      <c r="AF83" s="89"/>
      <c r="AG83" s="89"/>
    </row>
    <row r="84" spans="2:33" ht="12.75" customHeight="1" x14ac:dyDescent="0.2">
      <c r="B84" s="89"/>
      <c r="C84" s="364" t="b">
        <f>ROUND(C82,0)=ROUND(C85,0)</f>
        <v>1</v>
      </c>
      <c r="D84" s="365"/>
      <c r="E84" s="365"/>
      <c r="F84" s="365"/>
      <c r="G84" s="89"/>
      <c r="H84" s="188"/>
      <c r="I84" s="89"/>
      <c r="J84" s="365"/>
      <c r="K84" s="365"/>
      <c r="L84" s="365"/>
      <c r="M84" s="365"/>
      <c r="N84" s="365"/>
      <c r="O84" s="365"/>
      <c r="P84" s="190"/>
      <c r="Q84" s="89"/>
      <c r="R84" s="87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216"/>
      <c r="AE84" s="180"/>
      <c r="AF84" s="89"/>
      <c r="AG84" s="89"/>
    </row>
    <row r="85" spans="2:33" ht="12.75" customHeight="1" x14ac:dyDescent="0.2">
      <c r="B85" s="89"/>
      <c r="C85" s="322">
        <f>-TB!D114</f>
        <v>68187.819999999978</v>
      </c>
      <c r="D85" s="323"/>
      <c r="E85" s="323"/>
      <c r="F85" s="366"/>
      <c r="G85" s="90"/>
      <c r="H85" s="188"/>
      <c r="I85" s="90"/>
      <c r="J85" s="366"/>
      <c r="K85" s="366"/>
      <c r="L85" s="366"/>
      <c r="M85" s="366"/>
      <c r="N85" s="366"/>
      <c r="O85" s="366"/>
      <c r="P85" s="89"/>
      <c r="Q85" s="89"/>
      <c r="R85" s="87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180"/>
      <c r="AF85" s="89"/>
      <c r="AG85" s="89"/>
    </row>
    <row r="86" spans="2:33" ht="12.75" customHeight="1" x14ac:dyDescent="0.2">
      <c r="B86" s="190"/>
      <c r="C86" s="322">
        <f>ROUND(C82-C85,1)</f>
        <v>0</v>
      </c>
      <c r="D86" s="323"/>
      <c r="E86" s="323"/>
      <c r="F86" s="366"/>
      <c r="G86" s="89"/>
      <c r="H86" s="188"/>
      <c r="I86" s="89"/>
      <c r="J86" s="366"/>
      <c r="K86" s="366"/>
      <c r="L86" s="366"/>
      <c r="M86" s="366"/>
      <c r="N86" s="366"/>
      <c r="O86" s="366"/>
      <c r="P86" s="89"/>
      <c r="Q86" s="89"/>
      <c r="R86" s="87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180"/>
      <c r="AF86" s="89"/>
      <c r="AG86" s="89"/>
    </row>
    <row r="87" spans="2:33" ht="12.75" customHeight="1" x14ac:dyDescent="0.2">
      <c r="B87" s="89"/>
      <c r="C87" s="365"/>
      <c r="D87" s="365"/>
      <c r="E87" s="365"/>
      <c r="F87" s="365"/>
      <c r="G87" s="89"/>
      <c r="H87" s="188"/>
      <c r="I87" s="89"/>
      <c r="J87" s="365"/>
      <c r="K87" s="365"/>
      <c r="L87" s="365"/>
      <c r="M87" s="365"/>
      <c r="N87" s="365"/>
      <c r="O87" s="365"/>
      <c r="P87" s="190"/>
      <c r="Q87" s="190"/>
      <c r="R87" s="87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</row>
    <row r="88" spans="2:33" ht="12.75" customHeight="1" x14ac:dyDescent="0.2">
      <c r="B88" s="89"/>
      <c r="C88" s="365"/>
      <c r="D88" s="365"/>
      <c r="E88" s="365"/>
      <c r="F88" s="365"/>
      <c r="G88" s="93"/>
      <c r="H88" s="188"/>
      <c r="I88" s="93"/>
      <c r="J88" s="365"/>
      <c r="K88" s="365"/>
      <c r="L88" s="365"/>
      <c r="M88" s="365"/>
      <c r="N88" s="365"/>
      <c r="O88" s="365"/>
      <c r="AE88" s="84"/>
    </row>
    <row r="89" spans="2:33" ht="12.75" customHeight="1" x14ac:dyDescent="0.2">
      <c r="B89" s="190"/>
      <c r="C89" s="365"/>
      <c r="D89" s="365"/>
      <c r="E89" s="365"/>
      <c r="F89" s="365"/>
      <c r="G89" s="89"/>
      <c r="H89" s="89"/>
      <c r="I89" s="89"/>
      <c r="J89" s="365"/>
      <c r="K89" s="365"/>
      <c r="L89" s="365"/>
      <c r="M89" s="365"/>
      <c r="N89" s="365"/>
      <c r="O89" s="365"/>
      <c r="AE89" s="84"/>
    </row>
    <row r="90" spans="2:33" ht="12.75" customHeight="1" x14ac:dyDescent="0.2">
      <c r="B90" s="89"/>
      <c r="C90" s="365"/>
      <c r="D90" s="365"/>
      <c r="E90" s="365"/>
      <c r="F90" s="365"/>
      <c r="G90" s="89"/>
      <c r="H90" s="89"/>
      <c r="I90" s="89"/>
      <c r="J90" s="365"/>
      <c r="K90" s="365"/>
      <c r="L90" s="365"/>
      <c r="M90" s="365"/>
      <c r="N90" s="365"/>
      <c r="O90" s="365"/>
      <c r="AE90" s="84"/>
    </row>
    <row r="91" spans="2:33" ht="12.75" customHeight="1" x14ac:dyDescent="0.2">
      <c r="B91" s="190"/>
      <c r="C91" s="365"/>
      <c r="D91" s="365"/>
      <c r="E91" s="365"/>
      <c r="F91" s="365"/>
      <c r="G91" s="89"/>
      <c r="H91" s="89"/>
      <c r="I91" s="89"/>
      <c r="J91" s="365"/>
      <c r="K91" s="365"/>
      <c r="L91" s="365"/>
      <c r="M91" s="365"/>
      <c r="N91" s="365"/>
      <c r="O91" s="365"/>
      <c r="AE91" s="84"/>
    </row>
    <row r="92" spans="2:33" ht="12.75" customHeight="1" x14ac:dyDescent="0.2">
      <c r="G92" s="89"/>
      <c r="H92" s="84"/>
      <c r="I92" s="89"/>
      <c r="AE92" s="84"/>
    </row>
    <row r="93" spans="2:33" ht="12.75" customHeight="1" x14ac:dyDescent="0.2">
      <c r="C93" s="365"/>
      <c r="G93" s="89"/>
      <c r="H93" s="84"/>
      <c r="I93" s="89"/>
      <c r="AE93" s="84"/>
    </row>
    <row r="94" spans="2:33" ht="12.75" customHeight="1" x14ac:dyDescent="0.2">
      <c r="B94" s="91"/>
      <c r="G94" s="89"/>
      <c r="H94" s="84"/>
      <c r="I94" s="89"/>
      <c r="AE94" s="84"/>
    </row>
    <row r="95" spans="2:33" ht="12.75" customHeight="1" x14ac:dyDescent="0.2">
      <c r="G95" s="89"/>
      <c r="H95" s="84"/>
      <c r="I95" s="89"/>
      <c r="AE95" s="84"/>
    </row>
    <row r="96" spans="2:33" ht="12.75" customHeight="1" x14ac:dyDescent="0.2">
      <c r="B96" s="91"/>
      <c r="G96" s="89"/>
      <c r="H96" s="84"/>
      <c r="I96" s="89"/>
      <c r="AE96" s="84"/>
    </row>
    <row r="97" spans="2:31" ht="12.75" customHeight="1" x14ac:dyDescent="0.2">
      <c r="B97" s="91"/>
      <c r="G97" s="89"/>
      <c r="H97" s="84"/>
      <c r="I97" s="89"/>
      <c r="AE97" s="84"/>
    </row>
    <row r="98" spans="2:31" ht="12.75" customHeight="1" x14ac:dyDescent="0.2">
      <c r="B98" s="91"/>
      <c r="G98" s="89"/>
      <c r="H98" s="84"/>
      <c r="I98" s="89"/>
      <c r="AE98" s="84"/>
    </row>
    <row r="99" spans="2:31" ht="12.75" customHeight="1" x14ac:dyDescent="0.2">
      <c r="G99" s="89"/>
      <c r="H99" s="84"/>
      <c r="I99" s="89"/>
      <c r="AE99" s="84"/>
    </row>
    <row r="100" spans="2:31" ht="12.75" customHeight="1" x14ac:dyDescent="0.2">
      <c r="G100" s="89"/>
      <c r="H100" s="84"/>
      <c r="I100" s="89"/>
      <c r="AE100" s="84"/>
    </row>
    <row r="101" spans="2:31" ht="12.75" customHeight="1" x14ac:dyDescent="0.2">
      <c r="B101" s="91"/>
      <c r="H101" s="84"/>
      <c r="AE101" s="84"/>
    </row>
    <row r="102" spans="2:31" ht="12.75" customHeight="1" x14ac:dyDescent="0.2">
      <c r="H102" s="84"/>
      <c r="AE102" s="84"/>
    </row>
    <row r="103" spans="2:31" ht="12.75" customHeight="1" x14ac:dyDescent="0.2">
      <c r="B103" s="91"/>
      <c r="H103" s="84"/>
      <c r="AE103" s="84"/>
    </row>
    <row r="104" spans="2:31" ht="12.75" customHeight="1" x14ac:dyDescent="0.2">
      <c r="B104" s="91"/>
      <c r="AE104" s="84"/>
    </row>
    <row r="108" spans="2:31" ht="12.75" customHeight="1" x14ac:dyDescent="0.2">
      <c r="B108" s="91"/>
      <c r="AE108" s="84"/>
    </row>
    <row r="109" spans="2:31" ht="12.75" customHeight="1" x14ac:dyDescent="0.2">
      <c r="B109" s="91"/>
      <c r="AE109" s="84"/>
    </row>
    <row r="111" spans="2:31" ht="12.75" customHeight="1" x14ac:dyDescent="0.2">
      <c r="B111" s="91"/>
      <c r="H111" s="84"/>
      <c r="AE111" s="84"/>
    </row>
    <row r="112" spans="2:31" ht="12.75" customHeight="1" x14ac:dyDescent="0.2">
      <c r="B112" s="91"/>
      <c r="H112" s="84"/>
      <c r="AE112" s="84"/>
    </row>
  </sheetData>
  <mergeCells count="5">
    <mergeCell ref="G4:I4"/>
    <mergeCell ref="C4:F4"/>
    <mergeCell ref="Q4:AF4"/>
    <mergeCell ref="AE5:AF5"/>
    <mergeCell ref="L4:L5"/>
  </mergeCells>
  <phoneticPr fontId="0" type="noConversion"/>
  <conditionalFormatting sqref="S5:AD5">
    <cfRule type="expression" dxfId="1" priority="2">
      <formula>S5&lt;=$B$3</formula>
    </cfRule>
  </conditionalFormatting>
  <conditionalFormatting sqref="R5">
    <cfRule type="expression" dxfId="0" priority="1">
      <formula>R5&lt;=$B$3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9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2" sqref="D2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42578125" customWidth="1"/>
    <col min="5" max="5" width="15.42578125" style="80" customWidth="1"/>
    <col min="6" max="6" width="11.85546875" style="80" bestFit="1" customWidth="1"/>
    <col min="7" max="7" width="6.42578125" style="80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436">
        <f>'Man Accs '!B3</f>
        <v>42947</v>
      </c>
      <c r="C2" s="437"/>
      <c r="E2" s="436">
        <v>42735</v>
      </c>
      <c r="F2" s="437"/>
      <c r="H2" s="436">
        <v>42369</v>
      </c>
      <c r="I2" s="437"/>
    </row>
    <row r="3" spans="1:12" ht="10.5" customHeight="1" x14ac:dyDescent="0.2">
      <c r="A3" s="43"/>
      <c r="B3" s="171"/>
      <c r="C3" s="172"/>
      <c r="D3" s="95"/>
      <c r="E3" s="171"/>
      <c r="F3" s="172"/>
      <c r="G3" s="95"/>
      <c r="H3" s="171"/>
      <c r="I3" s="172"/>
    </row>
    <row r="4" spans="1:12" x14ac:dyDescent="0.2">
      <c r="A4" s="44" t="s">
        <v>153</v>
      </c>
      <c r="B4" s="171"/>
      <c r="C4" s="172"/>
      <c r="D4" s="95"/>
      <c r="E4" s="171"/>
      <c r="F4" s="172"/>
      <c r="G4" s="95"/>
      <c r="H4" s="171"/>
      <c r="I4" s="172"/>
    </row>
    <row r="5" spans="1:12" x14ac:dyDescent="0.2">
      <c r="A5" s="43"/>
      <c r="B5" s="171"/>
      <c r="C5" s="172"/>
      <c r="D5" s="96"/>
      <c r="E5" s="171"/>
      <c r="F5" s="172"/>
      <c r="G5" s="96"/>
      <c r="H5" s="171"/>
      <c r="I5" s="172"/>
    </row>
    <row r="6" spans="1:12" x14ac:dyDescent="0.2">
      <c r="A6" s="43" t="s">
        <v>154</v>
      </c>
      <c r="B6" s="173"/>
      <c r="C6" s="174">
        <f>+TB!D5</f>
        <v>861810</v>
      </c>
      <c r="D6" s="96"/>
      <c r="E6" s="173"/>
      <c r="F6" s="174">
        <v>836188</v>
      </c>
      <c r="G6" s="96"/>
      <c r="H6" s="173"/>
      <c r="I6" s="174">
        <v>761265</v>
      </c>
    </row>
    <row r="7" spans="1:12" x14ac:dyDescent="0.2">
      <c r="A7" s="43"/>
      <c r="B7" s="173"/>
      <c r="C7" s="174"/>
      <c r="D7" s="96"/>
      <c r="E7" s="173"/>
      <c r="F7" s="174"/>
      <c r="G7" s="96"/>
      <c r="H7" s="173"/>
      <c r="I7" s="174"/>
    </row>
    <row r="8" spans="1:12" x14ac:dyDescent="0.2">
      <c r="A8" s="44" t="s">
        <v>155</v>
      </c>
      <c r="B8" s="173"/>
      <c r="C8" s="174"/>
      <c r="D8" s="96"/>
      <c r="E8" s="173"/>
      <c r="F8" s="174"/>
      <c r="G8" s="96"/>
      <c r="H8" s="173"/>
      <c r="I8" s="174"/>
    </row>
    <row r="9" spans="1:12" s="80" customFormat="1" x14ac:dyDescent="0.2">
      <c r="A9" s="44"/>
      <c r="B9" s="173"/>
      <c r="C9" s="174"/>
      <c r="D9" s="96"/>
      <c r="E9" s="173"/>
      <c r="F9" s="174"/>
      <c r="G9" s="96"/>
      <c r="H9" s="173"/>
      <c r="I9" s="174"/>
    </row>
    <row r="10" spans="1:12" x14ac:dyDescent="0.2">
      <c r="A10" s="43" t="s">
        <v>781</v>
      </c>
      <c r="B10" s="173">
        <f>TB!D6</f>
        <v>0</v>
      </c>
      <c r="C10" s="174"/>
      <c r="D10" s="96"/>
      <c r="E10" s="173"/>
      <c r="F10" s="174"/>
      <c r="G10" s="96"/>
      <c r="H10" s="173">
        <v>6173.17</v>
      </c>
      <c r="I10" s="174"/>
    </row>
    <row r="11" spans="1:12" s="80" customFormat="1" x14ac:dyDescent="0.2">
      <c r="A11" s="43" t="s">
        <v>806</v>
      </c>
      <c r="B11" s="173">
        <f>TB!D25</f>
        <v>0</v>
      </c>
      <c r="C11" s="174"/>
      <c r="D11" s="96"/>
      <c r="E11" s="173">
        <v>5472.56</v>
      </c>
      <c r="F11" s="174"/>
      <c r="G11" s="96"/>
      <c r="H11" s="173">
        <v>-4023.73</v>
      </c>
      <c r="I11" s="174"/>
    </row>
    <row r="12" spans="1:12" x14ac:dyDescent="0.2">
      <c r="A12" s="43" t="s">
        <v>817</v>
      </c>
      <c r="B12" s="173">
        <f>TB!D15</f>
        <v>5422.53</v>
      </c>
      <c r="C12" s="174"/>
      <c r="D12" s="96"/>
      <c r="E12" s="173">
        <v>11048.25</v>
      </c>
      <c r="F12" s="174"/>
      <c r="G12" s="96"/>
      <c r="H12" s="173">
        <v>236.79</v>
      </c>
      <c r="I12" s="174"/>
    </row>
    <row r="13" spans="1:12" s="80" customFormat="1" x14ac:dyDescent="0.2">
      <c r="A13" s="43" t="s">
        <v>1019</v>
      </c>
      <c r="B13" s="173"/>
      <c r="C13" s="174"/>
      <c r="D13" s="96"/>
      <c r="E13" s="173">
        <v>8517.85</v>
      </c>
      <c r="F13" s="174"/>
      <c r="G13" s="96"/>
      <c r="H13" s="173"/>
      <c r="I13" s="174"/>
    </row>
    <row r="14" spans="1:12" x14ac:dyDescent="0.2">
      <c r="A14" s="43" t="s">
        <v>156</v>
      </c>
      <c r="B14" s="173">
        <f>SUM(TB!D7:D10)+TB!D14</f>
        <v>11358.93</v>
      </c>
      <c r="C14" s="174"/>
      <c r="D14" s="96"/>
      <c r="E14" s="173">
        <v>49782.73</v>
      </c>
      <c r="F14" s="174"/>
      <c r="G14" s="96"/>
      <c r="H14" s="173">
        <v>9217.17</v>
      </c>
      <c r="I14" s="174"/>
    </row>
    <row r="15" spans="1:12" x14ac:dyDescent="0.2">
      <c r="A15" s="43"/>
      <c r="B15" s="175">
        <f>SUM(B10:B14)</f>
        <v>16781.46</v>
      </c>
      <c r="C15" s="172"/>
      <c r="D15" s="96"/>
      <c r="E15" s="175">
        <f>SUM(E9:E14)</f>
        <v>74821.390000000014</v>
      </c>
      <c r="F15" s="172"/>
      <c r="G15" s="96"/>
      <c r="H15" s="175">
        <v>11603.4</v>
      </c>
      <c r="I15" s="172"/>
    </row>
    <row r="16" spans="1:12" x14ac:dyDescent="0.2">
      <c r="A16" s="44" t="s">
        <v>157</v>
      </c>
      <c r="B16" s="171"/>
      <c r="C16" s="172"/>
      <c r="D16" s="96"/>
      <c r="E16" s="171"/>
      <c r="F16" s="172"/>
      <c r="G16" s="96"/>
      <c r="H16" s="171"/>
      <c r="I16" s="172"/>
      <c r="K16" s="78"/>
      <c r="L16" s="78"/>
    </row>
    <row r="17" spans="1:12" x14ac:dyDescent="0.2">
      <c r="A17" s="43"/>
      <c r="B17" s="171"/>
      <c r="C17" s="172"/>
      <c r="D17" s="96"/>
      <c r="E17" s="171"/>
      <c r="F17" s="172"/>
      <c r="G17" s="96"/>
      <c r="H17" s="171"/>
      <c r="I17" s="172"/>
      <c r="K17" s="78"/>
      <c r="L17" s="78"/>
    </row>
    <row r="18" spans="1:12" ht="25.5" x14ac:dyDescent="0.2">
      <c r="A18" s="44" t="s">
        <v>158</v>
      </c>
      <c r="B18" s="171"/>
      <c r="C18" s="172"/>
      <c r="D18" s="96"/>
      <c r="E18" s="171"/>
      <c r="F18" s="172"/>
      <c r="G18" s="96"/>
      <c r="H18" s="171"/>
      <c r="I18" s="172"/>
      <c r="J18" s="78"/>
      <c r="K18" s="78"/>
      <c r="L18" s="78"/>
    </row>
    <row r="19" spans="1:12" s="80" customFormat="1" x14ac:dyDescent="0.2">
      <c r="A19" s="43" t="s">
        <v>170</v>
      </c>
      <c r="B19" s="173">
        <f>-TB!D16</f>
        <v>30234.25</v>
      </c>
      <c r="C19" s="172"/>
      <c r="D19" s="96"/>
      <c r="E19" s="173">
        <v>29054.97</v>
      </c>
      <c r="F19" s="172"/>
      <c r="G19" s="96"/>
      <c r="H19" s="173">
        <v>-27904.38</v>
      </c>
      <c r="I19" s="172"/>
      <c r="K19" s="78"/>
      <c r="L19" s="78"/>
    </row>
    <row r="20" spans="1:12" x14ac:dyDescent="0.2">
      <c r="A20" s="43" t="s">
        <v>997</v>
      </c>
      <c r="B20" s="173">
        <f>-TB!D12</f>
        <v>15969.91</v>
      </c>
      <c r="C20" s="172"/>
      <c r="D20" s="96"/>
      <c r="E20" s="173">
        <v>55982.36</v>
      </c>
      <c r="F20" s="172"/>
      <c r="G20" s="96"/>
      <c r="H20" s="173">
        <v>35905.03</v>
      </c>
      <c r="I20" s="172"/>
      <c r="K20" s="78"/>
      <c r="L20" s="78"/>
    </row>
    <row r="21" spans="1:12" x14ac:dyDescent="0.2">
      <c r="A21" s="43" t="s">
        <v>780</v>
      </c>
      <c r="B21" s="173">
        <f>-TB!D13-TB!D18-TB!D19-TB!D20</f>
        <v>0</v>
      </c>
      <c r="C21" s="172"/>
      <c r="D21" s="96"/>
      <c r="E21" s="173">
        <f>-[1]TB!G13-[1]TB!G18-[1]TB!G19-[1]TB!G20</f>
        <v>0</v>
      </c>
      <c r="F21" s="172"/>
      <c r="G21" s="96"/>
      <c r="H21" s="173">
        <v>0</v>
      </c>
      <c r="I21" s="172"/>
      <c r="K21" s="78"/>
      <c r="L21" s="78"/>
    </row>
    <row r="22" spans="1:12" s="80" customFormat="1" x14ac:dyDescent="0.2">
      <c r="A22" s="43" t="s">
        <v>807</v>
      </c>
      <c r="B22" s="173">
        <f>-TB!D24</f>
        <v>0</v>
      </c>
      <c r="C22" s="172"/>
      <c r="D22" s="96"/>
      <c r="E22" s="173">
        <v>5472.56</v>
      </c>
      <c r="F22" s="172"/>
      <c r="G22" s="96"/>
      <c r="H22" s="173">
        <v>-4023.73</v>
      </c>
      <c r="I22" s="172"/>
      <c r="K22" s="78"/>
      <c r="L22" s="78"/>
    </row>
    <row r="23" spans="1:12" x14ac:dyDescent="0.2">
      <c r="A23" s="43" t="s">
        <v>120</v>
      </c>
      <c r="B23" s="173">
        <f>-TB!D21</f>
        <v>-2163.19</v>
      </c>
      <c r="C23" s="172"/>
      <c r="D23" s="96"/>
      <c r="E23" s="173">
        <v>63195.839999999997</v>
      </c>
      <c r="F23" s="172"/>
      <c r="G23" s="96"/>
      <c r="H23" s="173">
        <v>29763.63</v>
      </c>
      <c r="I23" s="172"/>
      <c r="K23" s="78"/>
      <c r="L23" s="78"/>
    </row>
    <row r="24" spans="1:12" s="80" customFormat="1" x14ac:dyDescent="0.2">
      <c r="A24" s="43" t="s">
        <v>1004</v>
      </c>
      <c r="B24" s="173">
        <f>-TB!C22</f>
        <v>0</v>
      </c>
      <c r="C24" s="172"/>
      <c r="D24" s="96"/>
      <c r="E24" s="173">
        <f>-[1]TB!F22</f>
        <v>0</v>
      </c>
      <c r="F24" s="172"/>
      <c r="G24" s="96"/>
      <c r="H24" s="173">
        <v>748.54</v>
      </c>
      <c r="I24" s="172"/>
      <c r="K24" s="78"/>
      <c r="L24" s="78"/>
    </row>
    <row r="25" spans="1:12" x14ac:dyDescent="0.2">
      <c r="A25" s="43"/>
      <c r="B25" s="175">
        <f>SUM(B19:B24)</f>
        <v>44040.97</v>
      </c>
      <c r="C25" s="172"/>
      <c r="D25" s="96"/>
      <c r="E25" s="175">
        <f>SUM(E19:E24)</f>
        <v>153705.72999999998</v>
      </c>
      <c r="F25" s="172"/>
      <c r="G25" s="96"/>
      <c r="H25" s="175">
        <v>34489.089999999997</v>
      </c>
      <c r="I25" s="172"/>
      <c r="K25" s="78"/>
      <c r="L25" s="78"/>
    </row>
    <row r="26" spans="1:12" x14ac:dyDescent="0.2">
      <c r="A26" s="43"/>
      <c r="B26" s="171"/>
      <c r="C26" s="172"/>
      <c r="D26" s="96"/>
      <c r="E26" s="171"/>
      <c r="F26" s="172"/>
      <c r="G26" s="96"/>
      <c r="H26" s="171"/>
      <c r="I26" s="172"/>
      <c r="K26" s="78"/>
      <c r="L26" s="78"/>
    </row>
    <row r="27" spans="1:12" x14ac:dyDescent="0.2">
      <c r="A27" s="46"/>
      <c r="B27" s="171"/>
      <c r="C27" s="172"/>
      <c r="D27" s="96"/>
      <c r="E27" s="171"/>
      <c r="F27" s="172"/>
      <c r="G27" s="96"/>
      <c r="H27" s="171"/>
      <c r="I27" s="172"/>
      <c r="K27" s="78"/>
      <c r="L27" s="78"/>
    </row>
    <row r="28" spans="1:12" x14ac:dyDescent="0.2">
      <c r="A28" s="46" t="s">
        <v>167</v>
      </c>
      <c r="B28" s="171"/>
      <c r="C28" s="172">
        <f>+B15-B25</f>
        <v>-27259.510000000002</v>
      </c>
      <c r="D28" s="96"/>
      <c r="E28" s="171"/>
      <c r="F28" s="172">
        <f>+E15-E25</f>
        <v>-78884.339999999967</v>
      </c>
      <c r="G28" s="96"/>
      <c r="H28" s="171"/>
      <c r="I28" s="172">
        <v>-22885.689999999995</v>
      </c>
      <c r="K28" s="78"/>
      <c r="L28" s="78"/>
    </row>
    <row r="29" spans="1:12" x14ac:dyDescent="0.2">
      <c r="A29" s="43"/>
      <c r="B29" s="171"/>
      <c r="C29" s="172"/>
      <c r="D29" s="96"/>
      <c r="E29" s="171"/>
      <c r="F29" s="172"/>
      <c r="G29" s="96"/>
      <c r="H29" s="171"/>
      <c r="I29" s="172"/>
      <c r="K29" s="78"/>
      <c r="L29" s="78"/>
    </row>
    <row r="30" spans="1:12" x14ac:dyDescent="0.2">
      <c r="A30" s="44" t="s">
        <v>159</v>
      </c>
      <c r="B30" s="171"/>
      <c r="C30" s="176">
        <f>+C28+C6</f>
        <v>834550.49</v>
      </c>
      <c r="D30" s="96"/>
      <c r="E30" s="171"/>
      <c r="F30" s="176">
        <f>+F28+F6</f>
        <v>757303.66</v>
      </c>
      <c r="G30" s="96"/>
      <c r="H30" s="171"/>
      <c r="I30" s="176">
        <v>738379.31</v>
      </c>
      <c r="K30" s="78"/>
      <c r="L30" s="78"/>
    </row>
    <row r="31" spans="1:12" x14ac:dyDescent="0.2">
      <c r="A31" s="43"/>
      <c r="B31" s="171"/>
      <c r="C31" s="172"/>
      <c r="D31" s="96"/>
      <c r="E31" s="171"/>
      <c r="F31" s="172"/>
      <c r="G31" s="96"/>
      <c r="H31" s="171"/>
      <c r="I31" s="172"/>
      <c r="K31" s="78"/>
      <c r="L31" s="78"/>
    </row>
    <row r="32" spans="1:12" x14ac:dyDescent="0.2">
      <c r="A32" s="43"/>
      <c r="B32" s="171"/>
      <c r="C32" s="172"/>
      <c r="D32" s="96"/>
      <c r="E32" s="171"/>
      <c r="F32" s="172"/>
      <c r="G32" s="96"/>
      <c r="H32" s="171"/>
      <c r="I32" s="172"/>
      <c r="K32" s="78"/>
      <c r="L32" s="78"/>
    </row>
    <row r="33" spans="1:12" x14ac:dyDescent="0.2">
      <c r="A33" s="43"/>
      <c r="B33" s="171"/>
      <c r="C33" s="172"/>
      <c r="D33" s="96"/>
      <c r="E33" s="171"/>
      <c r="F33" s="172"/>
      <c r="G33" s="96"/>
      <c r="H33" s="171"/>
      <c r="I33" s="172"/>
      <c r="K33" s="78"/>
      <c r="L33" s="78"/>
    </row>
    <row r="34" spans="1:12" x14ac:dyDescent="0.2">
      <c r="A34" s="43" t="s">
        <v>160</v>
      </c>
      <c r="B34" s="171"/>
      <c r="C34" s="174">
        <f>-TB!D28</f>
        <v>546235.38</v>
      </c>
      <c r="D34" s="97"/>
      <c r="E34" s="171"/>
      <c r="F34" s="174">
        <v>545907.43000000005</v>
      </c>
      <c r="G34" s="97"/>
      <c r="H34" s="171"/>
      <c r="I34" s="174">
        <v>510875.26</v>
      </c>
      <c r="K34" s="78"/>
      <c r="L34" s="78"/>
    </row>
    <row r="35" spans="1:12" x14ac:dyDescent="0.2">
      <c r="A35" s="43" t="s">
        <v>161</v>
      </c>
      <c r="B35" s="171"/>
      <c r="C35" s="174">
        <f>-TB!D26-TB!D27</f>
        <v>220127.28999999989</v>
      </c>
      <c r="D35" s="97"/>
      <c r="E35" s="171"/>
      <c r="F35" s="174">
        <v>258842.91</v>
      </c>
      <c r="G35" s="97"/>
      <c r="H35" s="171"/>
      <c r="I35" s="174">
        <v>269310.73</v>
      </c>
      <c r="K35" s="48"/>
      <c r="L35" s="78"/>
    </row>
    <row r="36" spans="1:12" ht="12.75" customHeight="1" x14ac:dyDescent="0.2">
      <c r="A36" s="43" t="s">
        <v>818</v>
      </c>
      <c r="B36" s="171"/>
      <c r="C36" s="174">
        <f>-TB!D114</f>
        <v>68187.819999999978</v>
      </c>
      <c r="D36" s="96"/>
      <c r="E36" s="171"/>
      <c r="F36" s="177">
        <v>-47446.68</v>
      </c>
      <c r="G36" s="96"/>
      <c r="H36" s="171"/>
      <c r="I36" s="177">
        <v>-44214.680000000051</v>
      </c>
      <c r="K36" s="78"/>
      <c r="L36" s="78"/>
    </row>
    <row r="37" spans="1:12" x14ac:dyDescent="0.2">
      <c r="A37" s="43"/>
      <c r="B37" s="171"/>
      <c r="C37" s="172"/>
      <c r="D37" s="96"/>
      <c r="E37" s="171"/>
      <c r="F37" s="172"/>
      <c r="G37" s="96"/>
      <c r="H37" s="171"/>
      <c r="I37" s="172"/>
      <c r="K37" s="78"/>
      <c r="L37" s="78"/>
    </row>
    <row r="38" spans="1:12" x14ac:dyDescent="0.2">
      <c r="A38" s="45" t="s">
        <v>162</v>
      </c>
      <c r="B38" s="171"/>
      <c r="C38" s="176">
        <f>SUM(C34:C37)</f>
        <v>834550.48999999987</v>
      </c>
      <c r="D38" s="96"/>
      <c r="E38" s="171"/>
      <c r="F38" s="176">
        <f>SUM(F34:F37)</f>
        <v>757303.66</v>
      </c>
      <c r="G38" s="96"/>
      <c r="H38" s="171"/>
      <c r="I38" s="176">
        <v>735971.30999999994</v>
      </c>
      <c r="K38" s="78"/>
      <c r="L38" s="78"/>
    </row>
    <row r="39" spans="1:12" x14ac:dyDescent="0.2">
      <c r="A39" s="43"/>
      <c r="B39" s="171"/>
      <c r="C39" s="172"/>
      <c r="D39" s="96"/>
      <c r="E39" s="171"/>
      <c r="F39" s="172"/>
      <c r="G39" s="96"/>
      <c r="H39" s="171"/>
      <c r="I39" s="172"/>
      <c r="K39" s="78"/>
      <c r="L39" s="78"/>
    </row>
    <row r="40" spans="1:12" x14ac:dyDescent="0.2">
      <c r="B40" s="178" t="s">
        <v>1000</v>
      </c>
      <c r="C40" s="179">
        <f>TB!D4</f>
        <v>0</v>
      </c>
      <c r="D40" s="96"/>
      <c r="E40" s="178" t="s">
        <v>1000</v>
      </c>
      <c r="F40" s="179">
        <f>[1]TB!G4</f>
        <v>0</v>
      </c>
      <c r="G40" s="96"/>
      <c r="H40" s="99" t="s">
        <v>1000</v>
      </c>
      <c r="I40" s="98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4"/>
      <c r="E42" s="4"/>
      <c r="F42" s="4"/>
      <c r="G42" s="4"/>
      <c r="H42" s="1"/>
      <c r="I42" s="1"/>
      <c r="K42" s="78"/>
      <c r="L42" s="78"/>
    </row>
    <row r="43" spans="1:12" x14ac:dyDescent="0.2">
      <c r="B43" s="4"/>
      <c r="C43" s="94"/>
      <c r="D43" s="4"/>
      <c r="E43" s="4"/>
      <c r="F43" s="4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1"/>
      <c r="E44" s="1"/>
      <c r="F44" s="1"/>
      <c r="G44" s="1"/>
      <c r="H44" s="1"/>
      <c r="I44" s="1"/>
      <c r="K44" s="78"/>
      <c r="L44" s="78"/>
    </row>
    <row r="45" spans="1:12" x14ac:dyDescent="0.2">
      <c r="B45" s="1"/>
      <c r="C45" s="81"/>
      <c r="D45" s="1"/>
      <c r="E45" s="1"/>
      <c r="F45" s="1"/>
      <c r="G45" s="1"/>
      <c r="H45" s="1"/>
      <c r="I45" s="1"/>
      <c r="K45" s="78"/>
      <c r="L45" s="78"/>
    </row>
    <row r="46" spans="1:12" x14ac:dyDescent="0.2">
      <c r="B46" s="48"/>
      <c r="C46" s="82"/>
      <c r="D46" s="1"/>
      <c r="E46" s="1"/>
      <c r="F46" s="1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K47" s="78"/>
      <c r="L47" s="78"/>
    </row>
    <row r="48" spans="1:12" s="3" customFormat="1" x14ac:dyDescent="0.2">
      <c r="A48"/>
      <c r="B48" s="78"/>
      <c r="C48" s="48"/>
      <c r="D48"/>
      <c r="E48" s="80"/>
      <c r="F48" s="80"/>
      <c r="G48" s="80"/>
      <c r="H48"/>
      <c r="I48"/>
    </row>
    <row r="49" spans="1:9" x14ac:dyDescent="0.2">
      <c r="A49" s="6"/>
      <c r="B49" s="79"/>
      <c r="C49" s="65"/>
      <c r="D49" s="3"/>
      <c r="E49" s="3"/>
      <c r="F49" s="3"/>
      <c r="G49" s="3"/>
      <c r="H49" s="3"/>
      <c r="I49" s="3"/>
    </row>
    <row r="51" spans="1:9" x14ac:dyDescent="0.2">
      <c r="C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7"/>
  <sheetViews>
    <sheetView zoomScale="115" zoomScaleNormal="115" zoomScaleSheetLayoutView="70" workbookViewId="0">
      <pane xSplit="3" topLeftCell="D1" activePane="topRight" state="frozen"/>
      <selection pane="topRight" activeCell="C16" sqref="C16"/>
    </sheetView>
  </sheetViews>
  <sheetFormatPr defaultRowHeight="11.1" customHeight="1" x14ac:dyDescent="0.2"/>
  <cols>
    <col min="1" max="1" width="14.5703125" style="106" bestFit="1" customWidth="1"/>
    <col min="2" max="2" width="39.5703125" style="106" bestFit="1" customWidth="1"/>
    <col min="3" max="4" width="18.5703125" style="139" customWidth="1"/>
    <col min="5" max="5" width="7.140625" style="114" bestFit="1" customWidth="1"/>
    <col min="6" max="6" width="16.28515625" style="106" bestFit="1" customWidth="1"/>
    <col min="7" max="7" width="15.42578125" style="139" bestFit="1" customWidth="1"/>
    <col min="8" max="8" width="15.28515625" style="139" customWidth="1"/>
    <col min="9" max="10" width="14.28515625" style="139" bestFit="1" customWidth="1"/>
    <col min="11" max="13" width="13" style="139" customWidth="1"/>
    <col min="14" max="14" width="13" style="162" customWidth="1"/>
    <col min="15" max="15" width="13" style="163" customWidth="1"/>
    <col min="16" max="18" width="13" style="139" customWidth="1"/>
    <col min="19" max="16384" width="9.140625" style="106"/>
  </cols>
  <sheetData>
    <row r="1" spans="1:18" s="103" customFormat="1" ht="18.75" thickBot="1" x14ac:dyDescent="0.25">
      <c r="A1" s="100" t="s">
        <v>1007</v>
      </c>
      <c r="B1" s="101"/>
      <c r="C1" s="131"/>
      <c r="D1" s="131"/>
      <c r="E1" s="101"/>
      <c r="F1" s="102"/>
      <c r="G1" s="145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11.1" customHeight="1" thickBot="1" x14ac:dyDescent="0.25">
      <c r="A2" s="104" t="s">
        <v>785</v>
      </c>
      <c r="B2" s="104" t="s">
        <v>786</v>
      </c>
      <c r="C2" s="132" t="s">
        <v>973</v>
      </c>
      <c r="D2" s="132" t="s">
        <v>923</v>
      </c>
      <c r="E2" s="105"/>
      <c r="F2" s="438" t="s">
        <v>940</v>
      </c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40"/>
    </row>
    <row r="3" spans="1:18" ht="11.1" customHeight="1" thickBot="1" x14ac:dyDescent="0.25">
      <c r="A3" s="107"/>
      <c r="B3" s="107"/>
      <c r="C3" s="133">
        <f>SUM(C4:C112)</f>
        <v>-49223.290000000095</v>
      </c>
      <c r="D3" s="133">
        <f>SUM(D4:D112)</f>
        <v>8.4828144508719561E-11</v>
      </c>
      <c r="E3" s="108"/>
      <c r="F3" s="109">
        <f>SUM(F4:F112)</f>
        <v>49223.290000000095</v>
      </c>
      <c r="G3" s="147" t="s">
        <v>944</v>
      </c>
      <c r="H3" s="148" t="s">
        <v>945</v>
      </c>
      <c r="I3" s="148" t="s">
        <v>946</v>
      </c>
      <c r="J3" s="148" t="s">
        <v>947</v>
      </c>
      <c r="K3" s="148" t="s">
        <v>948</v>
      </c>
      <c r="L3" s="148" t="s">
        <v>949</v>
      </c>
      <c r="M3" s="148" t="s">
        <v>950</v>
      </c>
      <c r="N3" s="148" t="s">
        <v>951</v>
      </c>
      <c r="O3" s="148" t="s">
        <v>952</v>
      </c>
      <c r="P3" s="148" t="s">
        <v>953</v>
      </c>
      <c r="Q3" s="148" t="s">
        <v>954</v>
      </c>
      <c r="R3" s="149" t="s">
        <v>955</v>
      </c>
    </row>
    <row r="4" spans="1:18" ht="12.75" customHeight="1" x14ac:dyDescent="0.2">
      <c r="A4" s="110">
        <v>9999</v>
      </c>
      <c r="B4" s="111" t="s">
        <v>964</v>
      </c>
      <c r="C4" s="134"/>
      <c r="D4" s="140">
        <f t="shared" ref="D4:D29" si="0">+C4+F4</f>
        <v>0</v>
      </c>
      <c r="E4" s="112"/>
      <c r="F4" s="127">
        <f>SUM(G4:R4)</f>
        <v>0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</row>
    <row r="5" spans="1:18" ht="12.75" customHeight="1" x14ac:dyDescent="0.2">
      <c r="A5" s="110" t="s">
        <v>787</v>
      </c>
      <c r="B5" s="111" t="s">
        <v>154</v>
      </c>
      <c r="C5" s="134">
        <v>861810</v>
      </c>
      <c r="D5" s="140">
        <f t="shared" si="0"/>
        <v>861810</v>
      </c>
      <c r="E5" s="112" t="s">
        <v>938</v>
      </c>
      <c r="F5" s="127">
        <f t="shared" ref="F5:F29" si="1">SUM(G5:R5)</f>
        <v>0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3"/>
    </row>
    <row r="6" spans="1:18" ht="12.75" customHeight="1" x14ac:dyDescent="0.2">
      <c r="A6" s="110" t="s">
        <v>788</v>
      </c>
      <c r="B6" s="111" t="s">
        <v>781</v>
      </c>
      <c r="C6" s="134"/>
      <c r="D6" s="140">
        <f t="shared" si="0"/>
        <v>0</v>
      </c>
      <c r="E6" s="112" t="s">
        <v>931</v>
      </c>
      <c r="F6" s="127">
        <f t="shared" si="1"/>
        <v>0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1:18" ht="12.75" customHeight="1" x14ac:dyDescent="0.2">
      <c r="A7" s="110" t="s">
        <v>789</v>
      </c>
      <c r="B7" s="111" t="s">
        <v>790</v>
      </c>
      <c r="C7" s="134">
        <v>1000</v>
      </c>
      <c r="D7" s="140">
        <f t="shared" si="0"/>
        <v>1000</v>
      </c>
      <c r="E7" s="112" t="s">
        <v>934</v>
      </c>
      <c r="F7" s="127">
        <f t="shared" si="1"/>
        <v>0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1:18" ht="12.75" customHeight="1" x14ac:dyDescent="0.2">
      <c r="A8" s="110" t="s">
        <v>791</v>
      </c>
      <c r="B8" s="111" t="s">
        <v>792</v>
      </c>
      <c r="C8" s="134">
        <v>1036.9000000000001</v>
      </c>
      <c r="D8" s="140">
        <f t="shared" si="0"/>
        <v>1036.9000000000001</v>
      </c>
      <c r="E8" s="112" t="s">
        <v>934</v>
      </c>
      <c r="F8" s="127">
        <f t="shared" si="1"/>
        <v>0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/>
    </row>
    <row r="9" spans="1:18" ht="12.75" customHeight="1" x14ac:dyDescent="0.2">
      <c r="A9" s="110" t="s">
        <v>793</v>
      </c>
      <c r="B9" s="111" t="s">
        <v>794</v>
      </c>
      <c r="C9" s="134">
        <v>9322.0300000000007</v>
      </c>
      <c r="D9" s="140">
        <f t="shared" si="0"/>
        <v>9322.0300000000007</v>
      </c>
      <c r="E9" s="112" t="s">
        <v>934</v>
      </c>
      <c r="F9" s="127">
        <f t="shared" si="1"/>
        <v>0</v>
      </c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</row>
    <row r="10" spans="1:18" ht="12.75" customHeight="1" x14ac:dyDescent="0.2">
      <c r="A10" s="110" t="s">
        <v>795</v>
      </c>
      <c r="B10" s="111" t="s">
        <v>796</v>
      </c>
      <c r="C10" s="134"/>
      <c r="D10" s="140">
        <f t="shared" si="0"/>
        <v>0</v>
      </c>
      <c r="E10" s="112" t="s">
        <v>934</v>
      </c>
      <c r="F10" s="127">
        <f t="shared" si="1"/>
        <v>0</v>
      </c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3"/>
    </row>
    <row r="11" spans="1:18" ht="12.75" customHeight="1" x14ac:dyDescent="0.2">
      <c r="A11" s="110" t="s">
        <v>1012</v>
      </c>
      <c r="B11" s="111" t="s">
        <v>1013</v>
      </c>
      <c r="C11" s="134"/>
      <c r="D11" s="140">
        <f t="shared" si="0"/>
        <v>0</v>
      </c>
      <c r="E11" s="112"/>
      <c r="F11" s="127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3"/>
    </row>
    <row r="12" spans="1:18" ht="12.75" customHeight="1" x14ac:dyDescent="0.2">
      <c r="A12" s="110" t="s">
        <v>797</v>
      </c>
      <c r="B12" s="111" t="s">
        <v>798</v>
      </c>
      <c r="C12" s="134">
        <v>-15969.91</v>
      </c>
      <c r="D12" s="140">
        <f t="shared" si="0"/>
        <v>-15969.91</v>
      </c>
      <c r="E12" s="112" t="s">
        <v>933</v>
      </c>
      <c r="F12" s="127">
        <f t="shared" si="1"/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3"/>
    </row>
    <row r="13" spans="1:18" ht="12.75" customHeight="1" x14ac:dyDescent="0.2">
      <c r="A13" s="110" t="s">
        <v>799</v>
      </c>
      <c r="B13" s="111" t="s">
        <v>780</v>
      </c>
      <c r="C13" s="134"/>
      <c r="D13" s="140">
        <f t="shared" si="0"/>
        <v>0</v>
      </c>
      <c r="E13" s="112" t="s">
        <v>936</v>
      </c>
      <c r="F13" s="127">
        <f t="shared" si="1"/>
        <v>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3"/>
    </row>
    <row r="14" spans="1:18" ht="12.75" customHeight="1" x14ac:dyDescent="0.2">
      <c r="A14" s="110" t="s">
        <v>1009</v>
      </c>
      <c r="B14" s="111" t="s">
        <v>1010</v>
      </c>
      <c r="C14" s="138"/>
      <c r="D14" s="164">
        <f t="shared" si="0"/>
        <v>0</v>
      </c>
      <c r="E14" s="112" t="s">
        <v>936</v>
      </c>
      <c r="F14" s="127">
        <f t="shared" si="1"/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/>
    </row>
    <row r="15" spans="1:18" ht="12.75" customHeight="1" x14ac:dyDescent="0.2">
      <c r="A15" s="110" t="s">
        <v>816</v>
      </c>
      <c r="B15" s="111" t="s">
        <v>817</v>
      </c>
      <c r="C15" s="134">
        <v>5422.53</v>
      </c>
      <c r="D15" s="140">
        <f t="shared" si="0"/>
        <v>5422.53</v>
      </c>
      <c r="E15" s="112" t="s">
        <v>932</v>
      </c>
      <c r="F15" s="127">
        <f t="shared" si="1"/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3"/>
    </row>
    <row r="16" spans="1:18" ht="12.75" customHeight="1" x14ac:dyDescent="0.2">
      <c r="A16" s="110" t="s">
        <v>783</v>
      </c>
      <c r="B16" s="111" t="s">
        <v>170</v>
      </c>
      <c r="C16" s="134">
        <v>-30234.25</v>
      </c>
      <c r="D16" s="140">
        <f t="shared" si="0"/>
        <v>-30234.25</v>
      </c>
      <c r="E16" s="112" t="s">
        <v>935</v>
      </c>
      <c r="F16" s="127">
        <f t="shared" si="1"/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3"/>
    </row>
    <row r="17" spans="1:18" ht="12.75" customHeight="1" x14ac:dyDescent="0.2">
      <c r="A17" s="110" t="s">
        <v>694</v>
      </c>
      <c r="B17" s="111" t="s">
        <v>800</v>
      </c>
      <c r="C17" s="134"/>
      <c r="D17" s="140">
        <f t="shared" si="0"/>
        <v>0</v>
      </c>
      <c r="E17" s="112"/>
      <c r="F17" s="127">
        <f t="shared" si="1"/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4"/>
      <c r="R17" s="153"/>
    </row>
    <row r="18" spans="1:18" ht="12.75" customHeight="1" x14ac:dyDescent="0.2">
      <c r="A18" s="110" t="s">
        <v>801</v>
      </c>
      <c r="B18" s="111" t="s">
        <v>802</v>
      </c>
      <c r="C18" s="134"/>
      <c r="D18" s="140">
        <f t="shared" si="0"/>
        <v>0</v>
      </c>
      <c r="E18" s="112" t="s">
        <v>936</v>
      </c>
      <c r="F18" s="127">
        <f t="shared" si="1"/>
        <v>0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4"/>
      <c r="R18" s="153"/>
    </row>
    <row r="19" spans="1:18" ht="12.75" customHeight="1" x14ac:dyDescent="0.2">
      <c r="A19" s="110" t="s">
        <v>926</v>
      </c>
      <c r="B19" s="111" t="s">
        <v>927</v>
      </c>
      <c r="C19" s="134"/>
      <c r="D19" s="140">
        <f t="shared" si="0"/>
        <v>0</v>
      </c>
      <c r="E19" s="112" t="s">
        <v>936</v>
      </c>
      <c r="F19" s="127">
        <f t="shared" si="1"/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4"/>
      <c r="R19" s="153"/>
    </row>
    <row r="20" spans="1:18" ht="12.75" customHeight="1" x14ac:dyDescent="0.2">
      <c r="A20" s="110" t="s">
        <v>814</v>
      </c>
      <c r="B20" s="111" t="s">
        <v>815</v>
      </c>
      <c r="C20" s="134"/>
      <c r="D20" s="140">
        <f t="shared" si="0"/>
        <v>0</v>
      </c>
      <c r="E20" s="112" t="s">
        <v>936</v>
      </c>
      <c r="F20" s="127">
        <f t="shared" si="1"/>
        <v>0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4"/>
      <c r="R20" s="153"/>
    </row>
    <row r="21" spans="1:18" ht="12.75" customHeight="1" x14ac:dyDescent="0.2">
      <c r="A21" s="110" t="s">
        <v>664</v>
      </c>
      <c r="B21" s="111" t="s">
        <v>1001</v>
      </c>
      <c r="C21" s="134">
        <v>2163.19</v>
      </c>
      <c r="D21" s="140">
        <f t="shared" si="0"/>
        <v>2163.19</v>
      </c>
      <c r="E21" s="112" t="s">
        <v>139</v>
      </c>
      <c r="F21" s="127">
        <f t="shared" si="1"/>
        <v>0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4"/>
      <c r="R21" s="153"/>
    </row>
    <row r="22" spans="1:18" ht="12.75" customHeight="1" x14ac:dyDescent="0.2">
      <c r="A22" s="110" t="s">
        <v>1003</v>
      </c>
      <c r="B22" s="111" t="s">
        <v>1002</v>
      </c>
      <c r="C22" s="134"/>
      <c r="D22" s="140">
        <f t="shared" si="0"/>
        <v>0</v>
      </c>
      <c r="E22" s="112"/>
      <c r="F22" s="127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4"/>
      <c r="R22" s="153"/>
    </row>
    <row r="23" spans="1:18" ht="12.75" customHeight="1" x14ac:dyDescent="0.2">
      <c r="A23" s="110" t="s">
        <v>803</v>
      </c>
      <c r="B23" s="111" t="s">
        <v>804</v>
      </c>
      <c r="C23" s="134"/>
      <c r="D23" s="140">
        <f t="shared" si="0"/>
        <v>0</v>
      </c>
      <c r="E23" s="112" t="s">
        <v>937</v>
      </c>
      <c r="F23" s="127">
        <f t="shared" si="1"/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4"/>
      <c r="R23" s="153"/>
    </row>
    <row r="24" spans="1:18" ht="12.75" customHeight="1" x14ac:dyDescent="0.2">
      <c r="A24" s="110" t="s">
        <v>805</v>
      </c>
      <c r="B24" s="111" t="s">
        <v>806</v>
      </c>
      <c r="C24" s="134">
        <v>6112.21</v>
      </c>
      <c r="D24" s="140">
        <f t="shared" si="0"/>
        <v>0</v>
      </c>
      <c r="E24" s="143" t="s">
        <v>937</v>
      </c>
      <c r="F24" s="140">
        <f>SUM(G24:R24)</f>
        <v>-6112.2100000000009</v>
      </c>
      <c r="G24" s="152"/>
      <c r="H24" s="152"/>
      <c r="I24" s="152"/>
      <c r="J24" s="152">
        <v>-1203.72</v>
      </c>
      <c r="K24" s="152">
        <v>-2905.67</v>
      </c>
      <c r="L24" s="152">
        <v>-1099.98</v>
      </c>
      <c r="M24" s="152">
        <f>-126.59-776.25</f>
        <v>-902.84</v>
      </c>
      <c r="N24" s="152"/>
      <c r="O24" s="152"/>
      <c r="P24" s="152"/>
      <c r="Q24" s="154"/>
      <c r="R24" s="153"/>
    </row>
    <row r="25" spans="1:18" ht="12.75" customHeight="1" x14ac:dyDescent="0.2">
      <c r="A25" s="110" t="s">
        <v>697</v>
      </c>
      <c r="B25" s="111" t="s">
        <v>807</v>
      </c>
      <c r="C25" s="134"/>
      <c r="D25" s="140">
        <f t="shared" si="0"/>
        <v>0</v>
      </c>
      <c r="E25" s="112" t="s">
        <v>937</v>
      </c>
      <c r="F25" s="127">
        <f t="shared" si="1"/>
        <v>0</v>
      </c>
      <c r="G25" s="154"/>
      <c r="H25" s="152"/>
      <c r="I25" s="152"/>
      <c r="J25" s="152"/>
      <c r="K25" s="152"/>
      <c r="L25" s="152"/>
      <c r="M25" s="152"/>
      <c r="N25" s="152"/>
      <c r="O25" s="152"/>
      <c r="P25" s="152"/>
      <c r="Q25" s="154"/>
      <c r="R25" s="153"/>
    </row>
    <row r="26" spans="1:18" ht="12.75" customHeight="1" x14ac:dyDescent="0.2">
      <c r="A26" s="110" t="s">
        <v>808</v>
      </c>
      <c r="B26" s="111" t="s">
        <v>809</v>
      </c>
      <c r="C26" s="134">
        <v>-225096.05</v>
      </c>
      <c r="D26" s="140">
        <f t="shared" si="0"/>
        <v>-175872.75999999989</v>
      </c>
      <c r="E26" s="143" t="s">
        <v>139</v>
      </c>
      <c r="F26" s="140">
        <f t="shared" si="1"/>
        <v>49223.290000000095</v>
      </c>
      <c r="G26" s="152">
        <f>-C3</f>
        <v>49223.290000000095</v>
      </c>
      <c r="H26" s="152"/>
      <c r="I26" s="152"/>
      <c r="J26" s="152"/>
      <c r="K26" s="152"/>
      <c r="L26" s="152"/>
      <c r="M26" s="152"/>
      <c r="N26" s="152"/>
      <c r="O26" s="152"/>
      <c r="P26" s="152"/>
      <c r="Q26" s="154"/>
      <c r="R26" s="153"/>
    </row>
    <row r="27" spans="1:18" ht="12.75" customHeight="1" x14ac:dyDescent="0.2">
      <c r="A27" s="110" t="s">
        <v>943</v>
      </c>
      <c r="B27" s="111" t="s">
        <v>963</v>
      </c>
      <c r="C27" s="134">
        <v>-44254.53</v>
      </c>
      <c r="D27" s="140">
        <f t="shared" si="0"/>
        <v>-44254.53</v>
      </c>
      <c r="E27" s="112"/>
      <c r="F27" s="127">
        <f t="shared" si="1"/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4"/>
      <c r="R27" s="153"/>
    </row>
    <row r="28" spans="1:18" ht="12.75" customHeight="1" x14ac:dyDescent="0.2">
      <c r="A28" s="115" t="s">
        <v>810</v>
      </c>
      <c r="B28" s="116" t="s">
        <v>811</v>
      </c>
      <c r="C28" s="134">
        <v>-546235.38</v>
      </c>
      <c r="D28" s="140">
        <f t="shared" si="0"/>
        <v>-546235.38</v>
      </c>
      <c r="E28" s="143" t="s">
        <v>939</v>
      </c>
      <c r="F28" s="140">
        <f t="shared" si="1"/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4"/>
      <c r="R28" s="153"/>
    </row>
    <row r="29" spans="1:18" ht="12.75" customHeight="1" thickBot="1" x14ac:dyDescent="0.25">
      <c r="A29" s="118" t="s">
        <v>812</v>
      </c>
      <c r="B29" s="119" t="s">
        <v>813</v>
      </c>
      <c r="C29" s="133"/>
      <c r="D29" s="141">
        <f t="shared" si="0"/>
        <v>0</v>
      </c>
      <c r="E29" s="120"/>
      <c r="F29" s="128">
        <f t="shared" si="1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6"/>
      <c r="R29" s="157"/>
    </row>
    <row r="30" spans="1:18" ht="12.75" customHeight="1" x14ac:dyDescent="0.2">
      <c r="A30" s="121"/>
      <c r="B30" s="122"/>
      <c r="C30" s="135"/>
      <c r="D30" s="135"/>
      <c r="E30" s="123"/>
      <c r="F30" s="129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</row>
    <row r="31" spans="1:18" ht="12.75" customHeight="1" thickBot="1" x14ac:dyDescent="0.25">
      <c r="A31" s="118"/>
      <c r="B31" s="119"/>
      <c r="C31" s="136"/>
      <c r="D31" s="136"/>
      <c r="E31" s="120"/>
      <c r="F31" s="130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</row>
    <row r="32" spans="1:18" ht="12.75" customHeight="1" x14ac:dyDescent="0.2">
      <c r="A32" s="106" t="s">
        <v>822</v>
      </c>
      <c r="B32" s="106" t="s">
        <v>823</v>
      </c>
      <c r="C32" s="134"/>
      <c r="D32" s="140">
        <f t="shared" ref="D32:D64" si="2">+C32+F32</f>
        <v>0</v>
      </c>
      <c r="E32" s="112"/>
      <c r="F32" s="127">
        <f>SUM(G32:R32)</f>
        <v>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4"/>
      <c r="R32" s="153"/>
    </row>
    <row r="33" spans="1:18" ht="12.75" customHeight="1" x14ac:dyDescent="0.2">
      <c r="A33" s="106" t="s">
        <v>824</v>
      </c>
      <c r="B33" s="106" t="s">
        <v>965</v>
      </c>
      <c r="C33" s="137">
        <v>-99651.17</v>
      </c>
      <c r="D33" s="142">
        <f t="shared" si="2"/>
        <v>-99651.17</v>
      </c>
      <c r="E33" s="112"/>
      <c r="F33" s="127">
        <f>SUM(G33:R33)</f>
        <v>0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4"/>
      <c r="R33" s="153"/>
    </row>
    <row r="34" spans="1:18" ht="12.75" customHeight="1" x14ac:dyDescent="0.2">
      <c r="A34" s="106" t="s">
        <v>825</v>
      </c>
      <c r="B34" s="106" t="s">
        <v>826</v>
      </c>
      <c r="C34" s="137"/>
      <c r="D34" s="142">
        <f t="shared" si="2"/>
        <v>0</v>
      </c>
      <c r="E34" s="112"/>
      <c r="F34" s="127">
        <f t="shared" ref="F34:F52" si="3">SUM(G34:R34)</f>
        <v>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4"/>
      <c r="R34" s="153"/>
    </row>
    <row r="35" spans="1:18" ht="12.75" customHeight="1" x14ac:dyDescent="0.2">
      <c r="A35" s="106" t="s">
        <v>827</v>
      </c>
      <c r="B35" s="106" t="s">
        <v>966</v>
      </c>
      <c r="C35" s="137">
        <v>-2088.2600000000002</v>
      </c>
      <c r="D35" s="142">
        <f t="shared" si="2"/>
        <v>-2088.2600000000002</v>
      </c>
      <c r="E35" s="112"/>
      <c r="F35" s="127">
        <f t="shared" si="3"/>
        <v>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4"/>
      <c r="R35" s="153"/>
    </row>
    <row r="36" spans="1:18" ht="12.75" customHeight="1" x14ac:dyDescent="0.2">
      <c r="A36" s="106" t="s">
        <v>828</v>
      </c>
      <c r="B36" s="106" t="s">
        <v>782</v>
      </c>
      <c r="C36" s="137">
        <v>-12</v>
      </c>
      <c r="D36" s="142">
        <f t="shared" si="2"/>
        <v>-12</v>
      </c>
      <c r="E36" s="112"/>
      <c r="F36" s="127">
        <f t="shared" si="3"/>
        <v>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4"/>
      <c r="R36" s="153"/>
    </row>
    <row r="37" spans="1:18" ht="12.75" customHeight="1" x14ac:dyDescent="0.2">
      <c r="A37" s="110" t="s">
        <v>829</v>
      </c>
      <c r="B37" s="110" t="s">
        <v>830</v>
      </c>
      <c r="C37" s="137"/>
      <c r="D37" s="142">
        <f t="shared" si="2"/>
        <v>0</v>
      </c>
      <c r="E37" s="112"/>
      <c r="F37" s="127">
        <f t="shared" si="3"/>
        <v>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4"/>
      <c r="R37" s="153"/>
    </row>
    <row r="38" spans="1:18" ht="12.75" customHeight="1" x14ac:dyDescent="0.2">
      <c r="A38" s="110" t="s">
        <v>831</v>
      </c>
      <c r="B38" s="111" t="s">
        <v>832</v>
      </c>
      <c r="C38" s="165">
        <v>-3965.98</v>
      </c>
      <c r="D38" s="166">
        <f t="shared" si="2"/>
        <v>-3965.98</v>
      </c>
      <c r="E38" s="112"/>
      <c r="F38" s="127">
        <f t="shared" si="3"/>
        <v>0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4"/>
      <c r="R38" s="153"/>
    </row>
    <row r="39" spans="1:18" ht="12.75" customHeight="1" x14ac:dyDescent="0.2">
      <c r="A39" s="110" t="s">
        <v>833</v>
      </c>
      <c r="B39" s="111" t="s">
        <v>834</v>
      </c>
      <c r="C39" s="137"/>
      <c r="D39" s="142">
        <f t="shared" si="2"/>
        <v>0</v>
      </c>
      <c r="E39" s="112"/>
      <c r="F39" s="127">
        <f t="shared" si="3"/>
        <v>0</v>
      </c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4"/>
      <c r="R39" s="153"/>
    </row>
    <row r="40" spans="1:18" ht="12.75" customHeight="1" x14ac:dyDescent="0.2">
      <c r="A40" s="110" t="s">
        <v>835</v>
      </c>
      <c r="B40" s="111" t="s">
        <v>836</v>
      </c>
      <c r="C40" s="137">
        <v>-1771.8</v>
      </c>
      <c r="D40" s="142">
        <f t="shared" si="2"/>
        <v>-1771.8</v>
      </c>
      <c r="E40" s="112"/>
      <c r="F40" s="127">
        <f t="shared" si="3"/>
        <v>0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4"/>
      <c r="R40" s="153"/>
    </row>
    <row r="41" spans="1:18" ht="12.75" customHeight="1" x14ac:dyDescent="0.2">
      <c r="A41" s="110" t="s">
        <v>837</v>
      </c>
      <c r="B41" s="111" t="s">
        <v>838</v>
      </c>
      <c r="C41" s="137"/>
      <c r="D41" s="142">
        <f t="shared" si="2"/>
        <v>0</v>
      </c>
      <c r="E41" s="112"/>
      <c r="F41" s="127">
        <f t="shared" si="3"/>
        <v>0</v>
      </c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4"/>
      <c r="R41" s="153"/>
    </row>
    <row r="42" spans="1:18" ht="12.75" customHeight="1" x14ac:dyDescent="0.2">
      <c r="A42" s="110" t="s">
        <v>839</v>
      </c>
      <c r="B42" s="111" t="s">
        <v>5</v>
      </c>
      <c r="C42" s="137"/>
      <c r="D42" s="142">
        <f t="shared" si="2"/>
        <v>0</v>
      </c>
      <c r="E42" s="112"/>
      <c r="F42" s="127">
        <f t="shared" si="3"/>
        <v>0</v>
      </c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4"/>
      <c r="R42" s="153"/>
    </row>
    <row r="43" spans="1:18" ht="12.75" customHeight="1" x14ac:dyDescent="0.2">
      <c r="A43" s="110" t="s">
        <v>840</v>
      </c>
      <c r="B43" s="111" t="s">
        <v>6</v>
      </c>
      <c r="C43" s="137"/>
      <c r="D43" s="142">
        <f t="shared" si="2"/>
        <v>0</v>
      </c>
      <c r="E43" s="112"/>
      <c r="F43" s="127">
        <f t="shared" si="3"/>
        <v>0</v>
      </c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4"/>
      <c r="R43" s="153"/>
    </row>
    <row r="44" spans="1:18" ht="12.75" customHeight="1" x14ac:dyDescent="0.2">
      <c r="A44" s="110" t="s">
        <v>841</v>
      </c>
      <c r="B44" s="111" t="s">
        <v>92</v>
      </c>
      <c r="C44" s="137"/>
      <c r="D44" s="142">
        <f t="shared" si="2"/>
        <v>0</v>
      </c>
      <c r="E44" s="112"/>
      <c r="F44" s="127">
        <f t="shared" si="3"/>
        <v>0</v>
      </c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4"/>
      <c r="R44" s="153"/>
    </row>
    <row r="45" spans="1:18" ht="12.75" customHeight="1" x14ac:dyDescent="0.2">
      <c r="A45" s="110" t="s">
        <v>842</v>
      </c>
      <c r="B45" s="111" t="s">
        <v>843</v>
      </c>
      <c r="C45" s="137">
        <v>-231588.41</v>
      </c>
      <c r="D45" s="142">
        <f t="shared" si="2"/>
        <v>-231588.41</v>
      </c>
      <c r="E45" s="112"/>
      <c r="F45" s="127">
        <f t="shared" si="3"/>
        <v>0</v>
      </c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4"/>
      <c r="R45" s="153"/>
    </row>
    <row r="46" spans="1:18" ht="12.75" customHeight="1" x14ac:dyDescent="0.2">
      <c r="A46" s="110" t="s">
        <v>959</v>
      </c>
      <c r="B46" s="111" t="s">
        <v>960</v>
      </c>
      <c r="C46" s="137"/>
      <c r="D46" s="142">
        <f t="shared" si="2"/>
        <v>0</v>
      </c>
      <c r="E46" s="112"/>
      <c r="F46" s="127">
        <f t="shared" si="3"/>
        <v>0</v>
      </c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4"/>
      <c r="R46" s="153"/>
    </row>
    <row r="47" spans="1:18" ht="12.75" customHeight="1" x14ac:dyDescent="0.2">
      <c r="A47" s="110" t="s">
        <v>844</v>
      </c>
      <c r="B47" s="111" t="s">
        <v>845</v>
      </c>
      <c r="C47" s="137"/>
      <c r="D47" s="142">
        <f t="shared" si="2"/>
        <v>0</v>
      </c>
      <c r="E47" s="112"/>
      <c r="F47" s="127">
        <f t="shared" si="3"/>
        <v>0</v>
      </c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4"/>
      <c r="R47" s="153"/>
    </row>
    <row r="48" spans="1:18" ht="12.75" customHeight="1" x14ac:dyDescent="0.2">
      <c r="A48" s="110" t="s">
        <v>846</v>
      </c>
      <c r="B48" s="111" t="s">
        <v>847</v>
      </c>
      <c r="C48" s="137"/>
      <c r="D48" s="142">
        <f t="shared" si="2"/>
        <v>0</v>
      </c>
      <c r="E48" s="112"/>
      <c r="F48" s="127">
        <f t="shared" si="3"/>
        <v>0</v>
      </c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4"/>
      <c r="R48" s="153"/>
    </row>
    <row r="49" spans="1:18" ht="12.75" customHeight="1" x14ac:dyDescent="0.2">
      <c r="A49" s="110" t="s">
        <v>848</v>
      </c>
      <c r="B49" s="111" t="s">
        <v>849</v>
      </c>
      <c r="C49" s="137"/>
      <c r="D49" s="142">
        <f t="shared" si="2"/>
        <v>0</v>
      </c>
      <c r="E49" s="112"/>
      <c r="F49" s="127">
        <f t="shared" si="3"/>
        <v>0</v>
      </c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4"/>
      <c r="R49" s="153"/>
    </row>
    <row r="50" spans="1:18" ht="12.75" customHeight="1" x14ac:dyDescent="0.2">
      <c r="A50" s="113" t="s">
        <v>974</v>
      </c>
      <c r="B50" s="113" t="s">
        <v>986</v>
      </c>
      <c r="C50" s="137">
        <v>-1344</v>
      </c>
      <c r="D50" s="142">
        <f t="shared" si="2"/>
        <v>-1344</v>
      </c>
      <c r="E50" s="112"/>
      <c r="F50" s="127">
        <f t="shared" si="3"/>
        <v>0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4"/>
      <c r="R50" s="153"/>
    </row>
    <row r="51" spans="1:18" ht="12.75" customHeight="1" x14ac:dyDescent="0.2">
      <c r="A51" s="113" t="s">
        <v>975</v>
      </c>
      <c r="B51" s="113" t="s">
        <v>987</v>
      </c>
      <c r="C51" s="137"/>
      <c r="D51" s="142">
        <f t="shared" si="2"/>
        <v>0</v>
      </c>
      <c r="E51" s="112"/>
      <c r="F51" s="127">
        <f t="shared" si="3"/>
        <v>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4"/>
      <c r="R51" s="153"/>
    </row>
    <row r="52" spans="1:18" ht="12.75" customHeight="1" x14ac:dyDescent="0.2">
      <c r="A52" s="113" t="s">
        <v>976</v>
      </c>
      <c r="B52" s="113" t="s">
        <v>988</v>
      </c>
      <c r="C52" s="137"/>
      <c r="D52" s="142">
        <f t="shared" si="2"/>
        <v>0</v>
      </c>
      <c r="E52" s="112"/>
      <c r="F52" s="127">
        <f t="shared" si="3"/>
        <v>0</v>
      </c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4"/>
      <c r="R52" s="153"/>
    </row>
    <row r="53" spans="1:18" ht="12.75" customHeight="1" x14ac:dyDescent="0.2">
      <c r="A53" s="113" t="s">
        <v>1014</v>
      </c>
      <c r="B53" s="113" t="s">
        <v>1015</v>
      </c>
      <c r="C53" s="137"/>
      <c r="D53" s="142">
        <f t="shared" si="2"/>
        <v>0</v>
      </c>
      <c r="E53" s="112"/>
      <c r="F53" s="127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4"/>
      <c r="R53" s="153"/>
    </row>
    <row r="54" spans="1:18" ht="12.75" customHeight="1" x14ac:dyDescent="0.2">
      <c r="A54" s="110" t="s">
        <v>850</v>
      </c>
      <c r="B54" s="111" t="s">
        <v>967</v>
      </c>
      <c r="C54" s="167">
        <v>32073.75</v>
      </c>
      <c r="D54" s="168">
        <f t="shared" si="2"/>
        <v>36382.5</v>
      </c>
      <c r="E54" s="143"/>
      <c r="F54" s="140">
        <f>SUM(G54:R54)</f>
        <v>4308.75</v>
      </c>
      <c r="G54" s="152"/>
      <c r="H54" s="152"/>
      <c r="I54" s="152"/>
      <c r="J54" s="152">
        <v>832.5</v>
      </c>
      <c r="K54" s="152">
        <v>1755</v>
      </c>
      <c r="L54" s="152">
        <v>945</v>
      </c>
      <c r="M54" s="152">
        <v>776.25</v>
      </c>
      <c r="N54" s="152"/>
      <c r="O54" s="152"/>
      <c r="P54" s="152"/>
      <c r="Q54" s="152"/>
      <c r="R54" s="153"/>
    </row>
    <row r="55" spans="1:18" ht="12.75" customHeight="1" x14ac:dyDescent="0.2">
      <c r="A55" s="110" t="s">
        <v>851</v>
      </c>
      <c r="B55" s="111" t="s">
        <v>852</v>
      </c>
      <c r="C55" s="167"/>
      <c r="D55" s="168">
        <f t="shared" si="2"/>
        <v>0</v>
      </c>
      <c r="E55" s="112"/>
      <c r="F55" s="127">
        <f t="shared" ref="F55:F101" si="4">SUM(G55:R55)</f>
        <v>0</v>
      </c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4"/>
      <c r="R55" s="153"/>
    </row>
    <row r="56" spans="1:18" ht="12.75" customHeight="1" x14ac:dyDescent="0.2">
      <c r="A56" s="110" t="s">
        <v>853</v>
      </c>
      <c r="B56" s="111" t="s">
        <v>854</v>
      </c>
      <c r="C56" s="167"/>
      <c r="D56" s="168">
        <f t="shared" si="2"/>
        <v>0</v>
      </c>
      <c r="E56" s="112"/>
      <c r="F56" s="127">
        <f t="shared" si="4"/>
        <v>0</v>
      </c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4"/>
      <c r="R56" s="153"/>
    </row>
    <row r="57" spans="1:18" ht="12.75" customHeight="1" x14ac:dyDescent="0.2">
      <c r="A57" s="110" t="s">
        <v>855</v>
      </c>
      <c r="B57" s="111" t="s">
        <v>856</v>
      </c>
      <c r="C57" s="167"/>
      <c r="D57" s="168">
        <f t="shared" si="2"/>
        <v>0</v>
      </c>
      <c r="E57" s="112"/>
      <c r="F57" s="127">
        <f t="shared" si="4"/>
        <v>0</v>
      </c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4"/>
      <c r="R57" s="153"/>
    </row>
    <row r="58" spans="1:18" ht="12.75" customHeight="1" x14ac:dyDescent="0.2">
      <c r="A58" s="110" t="s">
        <v>857</v>
      </c>
      <c r="B58" s="111" t="s">
        <v>858</v>
      </c>
      <c r="C58" s="167">
        <v>33321.33</v>
      </c>
      <c r="D58" s="168">
        <f t="shared" si="2"/>
        <v>33321.33</v>
      </c>
      <c r="E58" s="112"/>
      <c r="F58" s="127">
        <f t="shared" si="4"/>
        <v>0</v>
      </c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4"/>
      <c r="R58" s="153"/>
    </row>
    <row r="59" spans="1:18" ht="12.75" customHeight="1" x14ac:dyDescent="0.2">
      <c r="A59" s="110" t="s">
        <v>702</v>
      </c>
      <c r="B59" s="111" t="s">
        <v>968</v>
      </c>
      <c r="C59" s="167">
        <v>5502.32</v>
      </c>
      <c r="D59" s="168">
        <f t="shared" si="2"/>
        <v>5502.32</v>
      </c>
      <c r="E59" s="112"/>
      <c r="F59" s="127">
        <f t="shared" si="4"/>
        <v>0</v>
      </c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4"/>
      <c r="R59" s="153"/>
    </row>
    <row r="60" spans="1:18" ht="12.75" customHeight="1" x14ac:dyDescent="0.2">
      <c r="A60" s="110" t="s">
        <v>859</v>
      </c>
      <c r="B60" s="111" t="s">
        <v>860</v>
      </c>
      <c r="C60" s="167">
        <v>2472.92</v>
      </c>
      <c r="D60" s="168">
        <f t="shared" si="2"/>
        <v>2500.7200000000003</v>
      </c>
      <c r="E60" s="143"/>
      <c r="F60" s="140">
        <f t="shared" si="4"/>
        <v>27.8</v>
      </c>
      <c r="G60" s="152"/>
      <c r="H60" s="152"/>
      <c r="I60" s="152"/>
      <c r="J60" s="152"/>
      <c r="K60" s="152">
        <v>1.21</v>
      </c>
      <c r="L60" s="152"/>
      <c r="M60" s="152">
        <v>26.59</v>
      </c>
      <c r="N60" s="152"/>
      <c r="O60" s="152"/>
      <c r="P60" s="152"/>
      <c r="Q60" s="154"/>
      <c r="R60" s="153"/>
    </row>
    <row r="61" spans="1:18" ht="12.75" customHeight="1" x14ac:dyDescent="0.2">
      <c r="A61" s="110" t="s">
        <v>861</v>
      </c>
      <c r="B61" s="111" t="s">
        <v>862</v>
      </c>
      <c r="C61" s="167">
        <v>10791.93</v>
      </c>
      <c r="D61" s="168">
        <f t="shared" si="2"/>
        <v>10791.93</v>
      </c>
      <c r="E61" s="112"/>
      <c r="F61" s="127">
        <f t="shared" si="4"/>
        <v>0</v>
      </c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4"/>
      <c r="R61" s="153"/>
    </row>
    <row r="62" spans="1:18" ht="12.75" customHeight="1" x14ac:dyDescent="0.2">
      <c r="A62" s="110" t="s">
        <v>863</v>
      </c>
      <c r="B62" s="111" t="s">
        <v>864</v>
      </c>
      <c r="C62" s="167"/>
      <c r="D62" s="168">
        <f t="shared" si="2"/>
        <v>0</v>
      </c>
      <c r="E62" s="112"/>
      <c r="F62" s="127">
        <f t="shared" si="4"/>
        <v>0</v>
      </c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4"/>
      <c r="R62" s="153"/>
    </row>
    <row r="63" spans="1:18" ht="12.75" customHeight="1" x14ac:dyDescent="0.2">
      <c r="A63" s="110" t="s">
        <v>865</v>
      </c>
      <c r="B63" s="111" t="s">
        <v>866</v>
      </c>
      <c r="C63" s="167"/>
      <c r="D63" s="168">
        <f t="shared" si="2"/>
        <v>0</v>
      </c>
      <c r="E63" s="112"/>
      <c r="F63" s="127">
        <f t="shared" si="4"/>
        <v>0</v>
      </c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4"/>
      <c r="R63" s="153"/>
    </row>
    <row r="64" spans="1:18" ht="12.75" customHeight="1" x14ac:dyDescent="0.2">
      <c r="A64" s="110" t="s">
        <v>867</v>
      </c>
      <c r="B64" s="111" t="s">
        <v>868</v>
      </c>
      <c r="C64" s="167"/>
      <c r="D64" s="168">
        <f t="shared" si="2"/>
        <v>0</v>
      </c>
      <c r="E64" s="112"/>
      <c r="F64" s="127">
        <f t="shared" si="4"/>
        <v>0</v>
      </c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4"/>
      <c r="R64" s="153"/>
    </row>
    <row r="65" spans="1:18" ht="12.75" customHeight="1" x14ac:dyDescent="0.2">
      <c r="A65" s="110" t="s">
        <v>869</v>
      </c>
      <c r="B65" s="111" t="s">
        <v>870</v>
      </c>
      <c r="C65" s="167">
        <v>1016.96</v>
      </c>
      <c r="D65" s="168">
        <f t="shared" ref="D65:D84" si="5">+C65+F65</f>
        <v>1016.96</v>
      </c>
      <c r="E65" s="112"/>
      <c r="F65" s="127">
        <f t="shared" si="4"/>
        <v>0</v>
      </c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4"/>
      <c r="R65" s="153"/>
    </row>
    <row r="66" spans="1:18" ht="12.75" customHeight="1" x14ac:dyDescent="0.2">
      <c r="A66" s="110" t="s">
        <v>871</v>
      </c>
      <c r="B66" s="111" t="s">
        <v>870</v>
      </c>
      <c r="C66" s="167"/>
      <c r="D66" s="168">
        <f t="shared" si="5"/>
        <v>0</v>
      </c>
      <c r="E66" s="112"/>
      <c r="F66" s="127">
        <f t="shared" si="4"/>
        <v>0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4"/>
      <c r="R66" s="153"/>
    </row>
    <row r="67" spans="1:18" ht="12.75" customHeight="1" x14ac:dyDescent="0.2">
      <c r="A67" s="110" t="s">
        <v>872</v>
      </c>
      <c r="B67" s="111" t="s">
        <v>873</v>
      </c>
      <c r="C67" s="167"/>
      <c r="D67" s="168">
        <f t="shared" si="5"/>
        <v>0</v>
      </c>
      <c r="E67" s="112"/>
      <c r="F67" s="127">
        <f t="shared" si="4"/>
        <v>0</v>
      </c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4"/>
      <c r="R67" s="153"/>
    </row>
    <row r="68" spans="1:18" ht="12.75" customHeight="1" x14ac:dyDescent="0.2">
      <c r="A68" s="110" t="s">
        <v>874</v>
      </c>
      <c r="B68" s="111" t="s">
        <v>875</v>
      </c>
      <c r="C68" s="167"/>
      <c r="D68" s="168">
        <f t="shared" si="5"/>
        <v>0</v>
      </c>
      <c r="E68" s="112"/>
      <c r="F68" s="127">
        <f t="shared" si="4"/>
        <v>0</v>
      </c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4"/>
      <c r="R68" s="153"/>
    </row>
    <row r="69" spans="1:18" ht="12.75" customHeight="1" x14ac:dyDescent="0.2">
      <c r="A69" s="110" t="s">
        <v>924</v>
      </c>
      <c r="B69" s="111" t="s">
        <v>925</v>
      </c>
      <c r="C69" s="167">
        <v>5022.25</v>
      </c>
      <c r="D69" s="168">
        <f t="shared" si="5"/>
        <v>5025.09</v>
      </c>
      <c r="E69" s="112"/>
      <c r="F69" s="127">
        <f t="shared" si="4"/>
        <v>2.84</v>
      </c>
      <c r="G69" s="152"/>
      <c r="H69" s="152"/>
      <c r="I69" s="152"/>
      <c r="J69" s="152">
        <v>2.84</v>
      </c>
      <c r="K69" s="152"/>
      <c r="L69" s="152"/>
      <c r="M69" s="152"/>
      <c r="N69" s="152"/>
      <c r="O69" s="152"/>
      <c r="P69" s="152"/>
      <c r="Q69" s="154"/>
      <c r="R69" s="153"/>
    </row>
    <row r="70" spans="1:18" ht="12.75" customHeight="1" x14ac:dyDescent="0.2">
      <c r="A70" s="110" t="s">
        <v>876</v>
      </c>
      <c r="B70" s="111" t="s">
        <v>877</v>
      </c>
      <c r="C70" s="167"/>
      <c r="D70" s="168">
        <f t="shared" si="5"/>
        <v>0</v>
      </c>
      <c r="E70" s="112"/>
      <c r="F70" s="127">
        <f t="shared" si="4"/>
        <v>0</v>
      </c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4"/>
      <c r="R70" s="153"/>
    </row>
    <row r="71" spans="1:18" ht="12.75" customHeight="1" x14ac:dyDescent="0.2">
      <c r="A71" s="110" t="s">
        <v>878</v>
      </c>
      <c r="B71" s="111" t="s">
        <v>5</v>
      </c>
      <c r="C71" s="167">
        <v>9804.5300000000007</v>
      </c>
      <c r="D71" s="168">
        <f t="shared" si="5"/>
        <v>9808.6400000000012</v>
      </c>
      <c r="E71" s="112"/>
      <c r="F71" s="127">
        <f t="shared" si="4"/>
        <v>4.1100000000000003</v>
      </c>
      <c r="G71" s="152"/>
      <c r="H71" s="152"/>
      <c r="I71" s="152"/>
      <c r="J71" s="152">
        <v>4.1100000000000003</v>
      </c>
      <c r="K71" s="152"/>
      <c r="L71" s="152"/>
      <c r="M71" s="152"/>
      <c r="N71" s="152"/>
      <c r="O71" s="152"/>
      <c r="P71" s="152"/>
      <c r="Q71" s="154"/>
      <c r="R71" s="153"/>
    </row>
    <row r="72" spans="1:18" ht="12.75" customHeight="1" x14ac:dyDescent="0.2">
      <c r="A72" s="110" t="s">
        <v>879</v>
      </c>
      <c r="B72" s="111" t="s">
        <v>880</v>
      </c>
      <c r="C72" s="167"/>
      <c r="D72" s="168">
        <f t="shared" si="5"/>
        <v>0</v>
      </c>
      <c r="E72" s="112"/>
      <c r="F72" s="127">
        <f t="shared" si="4"/>
        <v>0</v>
      </c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4"/>
      <c r="R72" s="153"/>
    </row>
    <row r="73" spans="1:18" ht="12.75" customHeight="1" x14ac:dyDescent="0.2">
      <c r="A73" s="110" t="s">
        <v>961</v>
      </c>
      <c r="B73" s="111" t="s">
        <v>962</v>
      </c>
      <c r="C73" s="137"/>
      <c r="D73" s="142">
        <f t="shared" si="5"/>
        <v>0</v>
      </c>
      <c r="E73" s="112"/>
      <c r="F73" s="127">
        <f t="shared" si="4"/>
        <v>0</v>
      </c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4"/>
      <c r="R73" s="153"/>
    </row>
    <row r="74" spans="1:18" ht="12.75" customHeight="1" x14ac:dyDescent="0.2">
      <c r="A74" s="110" t="s">
        <v>972</v>
      </c>
      <c r="B74" s="111" t="s">
        <v>971</v>
      </c>
      <c r="C74" s="167">
        <v>34419</v>
      </c>
      <c r="D74" s="168">
        <f t="shared" si="5"/>
        <v>34419</v>
      </c>
      <c r="E74" s="112"/>
      <c r="F74" s="127">
        <f t="shared" si="4"/>
        <v>0</v>
      </c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4"/>
      <c r="R74" s="153"/>
    </row>
    <row r="75" spans="1:18" ht="12.75" customHeight="1" x14ac:dyDescent="0.2">
      <c r="A75" s="110" t="s">
        <v>881</v>
      </c>
      <c r="B75" s="111" t="s">
        <v>730</v>
      </c>
      <c r="C75" s="167">
        <v>3575.53</v>
      </c>
      <c r="D75" s="168">
        <f t="shared" si="5"/>
        <v>3663.28</v>
      </c>
      <c r="E75" s="143"/>
      <c r="F75" s="140">
        <f>SUM(G75:R75)</f>
        <v>87.75</v>
      </c>
      <c r="G75" s="152"/>
      <c r="H75" s="152"/>
      <c r="I75" s="152"/>
      <c r="J75" s="152"/>
      <c r="K75" s="152">
        <v>42.77</v>
      </c>
      <c r="L75" s="152">
        <v>44.98</v>
      </c>
      <c r="M75" s="152"/>
      <c r="N75" s="152"/>
      <c r="O75" s="152"/>
      <c r="P75" s="152"/>
      <c r="Q75" s="152"/>
      <c r="R75" s="153"/>
    </row>
    <row r="76" spans="1:18" ht="12.75" customHeight="1" x14ac:dyDescent="0.2">
      <c r="A76" s="110" t="s">
        <v>882</v>
      </c>
      <c r="B76" s="111" t="s">
        <v>883</v>
      </c>
      <c r="C76" s="167"/>
      <c r="D76" s="168">
        <f t="shared" si="5"/>
        <v>0</v>
      </c>
      <c r="E76" s="143"/>
      <c r="F76" s="144">
        <f t="shared" si="4"/>
        <v>0</v>
      </c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4"/>
      <c r="R76" s="153"/>
    </row>
    <row r="77" spans="1:18" ht="12.75" customHeight="1" x14ac:dyDescent="0.2">
      <c r="A77" s="110" t="s">
        <v>914</v>
      </c>
      <c r="B77" s="111" t="s">
        <v>916</v>
      </c>
      <c r="C77" s="167"/>
      <c r="D77" s="168">
        <f t="shared" si="5"/>
        <v>0</v>
      </c>
      <c r="E77" s="112"/>
      <c r="F77" s="127">
        <f t="shared" si="4"/>
        <v>0</v>
      </c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4"/>
      <c r="R77" s="153"/>
    </row>
    <row r="78" spans="1:18" ht="12.75" customHeight="1" x14ac:dyDescent="0.2">
      <c r="A78" s="110" t="s">
        <v>915</v>
      </c>
      <c r="B78" s="111" t="s">
        <v>917</v>
      </c>
      <c r="C78" s="167"/>
      <c r="D78" s="168">
        <f t="shared" si="5"/>
        <v>0</v>
      </c>
      <c r="E78" s="112"/>
      <c r="F78" s="127">
        <f t="shared" si="4"/>
        <v>0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4"/>
      <c r="R78" s="153"/>
    </row>
    <row r="79" spans="1:18" ht="12.75" customHeight="1" x14ac:dyDescent="0.2">
      <c r="A79" s="110" t="s">
        <v>921</v>
      </c>
      <c r="B79" s="111" t="s">
        <v>922</v>
      </c>
      <c r="C79" s="167"/>
      <c r="D79" s="168">
        <f t="shared" si="5"/>
        <v>0</v>
      </c>
      <c r="E79" s="112"/>
      <c r="F79" s="127">
        <f t="shared" si="4"/>
        <v>0</v>
      </c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4"/>
      <c r="R79" s="153"/>
    </row>
    <row r="80" spans="1:18" ht="12.75" customHeight="1" x14ac:dyDescent="0.2">
      <c r="A80" s="110" t="s">
        <v>700</v>
      </c>
      <c r="B80" s="111" t="s">
        <v>884</v>
      </c>
      <c r="C80" s="167">
        <v>745.81</v>
      </c>
      <c r="D80" s="168">
        <f t="shared" si="5"/>
        <v>745.81</v>
      </c>
      <c r="E80" s="112"/>
      <c r="F80" s="127">
        <f t="shared" si="4"/>
        <v>0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4"/>
      <c r="R80" s="153"/>
    </row>
    <row r="81" spans="1:18" ht="12.75" customHeight="1" x14ac:dyDescent="0.2">
      <c r="A81" s="110" t="s">
        <v>601</v>
      </c>
      <c r="B81" s="111" t="s">
        <v>885</v>
      </c>
      <c r="C81" s="167"/>
      <c r="D81" s="168">
        <f t="shared" si="5"/>
        <v>0</v>
      </c>
      <c r="E81" s="112"/>
      <c r="F81" s="127">
        <f t="shared" si="4"/>
        <v>0</v>
      </c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4"/>
      <c r="R81" s="153"/>
    </row>
    <row r="82" spans="1:18" ht="12.75" customHeight="1" x14ac:dyDescent="0.2">
      <c r="A82" s="110" t="s">
        <v>886</v>
      </c>
      <c r="B82" s="111" t="s">
        <v>887</v>
      </c>
      <c r="C82" s="167">
        <v>19.48</v>
      </c>
      <c r="D82" s="168">
        <f t="shared" si="5"/>
        <v>19.48</v>
      </c>
      <c r="E82" s="112"/>
      <c r="F82" s="127">
        <f t="shared" si="4"/>
        <v>0</v>
      </c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4"/>
      <c r="R82" s="153"/>
    </row>
    <row r="83" spans="1:18" ht="12.75" customHeight="1" x14ac:dyDescent="0.2">
      <c r="A83" s="110" t="s">
        <v>1057</v>
      </c>
      <c r="B83" s="111" t="s">
        <v>1058</v>
      </c>
      <c r="C83" s="167"/>
      <c r="D83" s="168">
        <f t="shared" si="5"/>
        <v>0</v>
      </c>
      <c r="E83" s="112"/>
      <c r="F83" s="127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4"/>
      <c r="R83" s="153"/>
    </row>
    <row r="84" spans="1:18" ht="12.75" customHeight="1" x14ac:dyDescent="0.2">
      <c r="A84" s="110" t="s">
        <v>282</v>
      </c>
      <c r="B84" s="111" t="s">
        <v>888</v>
      </c>
      <c r="C84" s="167"/>
      <c r="D84" s="168">
        <f t="shared" si="5"/>
        <v>0</v>
      </c>
      <c r="E84" s="112"/>
      <c r="F84" s="127">
        <f t="shared" si="4"/>
        <v>0</v>
      </c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4"/>
      <c r="R84" s="153"/>
    </row>
    <row r="85" spans="1:18" ht="12.75" customHeight="1" x14ac:dyDescent="0.2">
      <c r="A85" s="110" t="s">
        <v>889</v>
      </c>
      <c r="B85" s="111" t="s">
        <v>890</v>
      </c>
      <c r="C85" s="167">
        <v>1915</v>
      </c>
      <c r="D85" s="168">
        <f t="shared" ref="D85:D112" si="6">+C85+F85</f>
        <v>2275</v>
      </c>
      <c r="E85" s="143"/>
      <c r="F85" s="140">
        <f t="shared" si="4"/>
        <v>360</v>
      </c>
      <c r="G85" s="152"/>
      <c r="H85" s="152"/>
      <c r="I85" s="152"/>
      <c r="J85" s="152"/>
      <c r="K85" s="152">
        <v>360</v>
      </c>
      <c r="L85" s="152"/>
      <c r="M85" s="152"/>
      <c r="N85" s="152"/>
      <c r="O85" s="152"/>
      <c r="P85" s="152"/>
      <c r="Q85" s="154"/>
      <c r="R85" s="153"/>
    </row>
    <row r="86" spans="1:18" ht="12.75" customHeight="1" x14ac:dyDescent="0.2">
      <c r="A86" s="106" t="s">
        <v>891</v>
      </c>
      <c r="B86" s="111" t="s">
        <v>892</v>
      </c>
      <c r="C86" s="167">
        <v>454.53</v>
      </c>
      <c r="D86" s="168">
        <f t="shared" si="6"/>
        <v>454.53</v>
      </c>
      <c r="E86" s="112"/>
      <c r="F86" s="127">
        <f t="shared" si="4"/>
        <v>0</v>
      </c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4"/>
      <c r="R86" s="153"/>
    </row>
    <row r="87" spans="1:18" ht="12.75" customHeight="1" x14ac:dyDescent="0.2">
      <c r="A87" s="110" t="s">
        <v>704</v>
      </c>
      <c r="B87" s="111" t="s">
        <v>893</v>
      </c>
      <c r="C87" s="167"/>
      <c r="D87" s="168">
        <f t="shared" si="6"/>
        <v>0</v>
      </c>
      <c r="E87" s="112"/>
      <c r="F87" s="127">
        <f t="shared" si="4"/>
        <v>0</v>
      </c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4"/>
      <c r="R87" s="153"/>
    </row>
    <row r="88" spans="1:18" ht="12.75" customHeight="1" x14ac:dyDescent="0.2">
      <c r="A88" s="110" t="s">
        <v>894</v>
      </c>
      <c r="B88" s="111" t="s">
        <v>3</v>
      </c>
      <c r="C88" s="167"/>
      <c r="D88" s="168">
        <f t="shared" si="6"/>
        <v>0</v>
      </c>
      <c r="E88" s="112"/>
      <c r="F88" s="127">
        <f t="shared" si="4"/>
        <v>0</v>
      </c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4"/>
      <c r="R88" s="153"/>
    </row>
    <row r="89" spans="1:18" ht="12.75" customHeight="1" x14ac:dyDescent="0.2">
      <c r="A89" s="110" t="s">
        <v>895</v>
      </c>
      <c r="B89" s="111" t="s">
        <v>896</v>
      </c>
      <c r="C89" s="167"/>
      <c r="D89" s="168">
        <f t="shared" si="6"/>
        <v>0</v>
      </c>
      <c r="E89" s="112"/>
      <c r="F89" s="127">
        <f t="shared" si="4"/>
        <v>0</v>
      </c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4"/>
      <c r="R89" s="153"/>
    </row>
    <row r="90" spans="1:18" ht="12.75" customHeight="1" x14ac:dyDescent="0.2">
      <c r="A90" s="110" t="s">
        <v>897</v>
      </c>
      <c r="B90" s="111" t="s">
        <v>92</v>
      </c>
      <c r="C90" s="167"/>
      <c r="D90" s="168">
        <f t="shared" si="6"/>
        <v>0</v>
      </c>
      <c r="E90" s="112"/>
      <c r="F90" s="127">
        <f t="shared" si="4"/>
        <v>0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4"/>
      <c r="R90" s="153"/>
    </row>
    <row r="91" spans="1:18" ht="12.75" customHeight="1" x14ac:dyDescent="0.2">
      <c r="A91" s="110" t="s">
        <v>291</v>
      </c>
      <c r="B91" s="111" t="s">
        <v>14</v>
      </c>
      <c r="C91" s="167">
        <v>1596.45</v>
      </c>
      <c r="D91" s="168">
        <f t="shared" si="6"/>
        <v>1791.31</v>
      </c>
      <c r="E91" s="143"/>
      <c r="F91" s="140">
        <f t="shared" si="4"/>
        <v>194.86</v>
      </c>
      <c r="G91" s="152"/>
      <c r="H91" s="152"/>
      <c r="I91" s="152"/>
      <c r="J91" s="152">
        <v>194.86</v>
      </c>
      <c r="K91" s="152"/>
      <c r="L91" s="152"/>
      <c r="M91" s="152"/>
      <c r="N91" s="152"/>
      <c r="O91" s="152"/>
      <c r="P91" s="152"/>
      <c r="Q91" s="154"/>
      <c r="R91" s="153"/>
    </row>
    <row r="92" spans="1:18" ht="12.75" customHeight="1" x14ac:dyDescent="0.2">
      <c r="A92" s="110" t="s">
        <v>898</v>
      </c>
      <c r="B92" s="111" t="s">
        <v>969</v>
      </c>
      <c r="C92" s="167">
        <v>24167</v>
      </c>
      <c r="D92" s="168">
        <f t="shared" si="6"/>
        <v>24167</v>
      </c>
      <c r="E92" s="112"/>
      <c r="F92" s="127">
        <f t="shared" si="4"/>
        <v>0</v>
      </c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4"/>
      <c r="R92" s="153"/>
    </row>
    <row r="93" spans="1:18" ht="12.75" customHeight="1" x14ac:dyDescent="0.2">
      <c r="A93" s="110" t="s">
        <v>372</v>
      </c>
      <c r="B93" s="111" t="s">
        <v>164</v>
      </c>
      <c r="C93" s="167"/>
      <c r="D93" s="168">
        <f t="shared" si="6"/>
        <v>0</v>
      </c>
      <c r="E93" s="112"/>
      <c r="F93" s="127">
        <f t="shared" si="4"/>
        <v>0</v>
      </c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4"/>
      <c r="R93" s="153"/>
    </row>
    <row r="94" spans="1:18" ht="12.75" customHeight="1" x14ac:dyDescent="0.2">
      <c r="A94" s="110" t="s">
        <v>899</v>
      </c>
      <c r="B94" s="111" t="s">
        <v>15</v>
      </c>
      <c r="C94" s="167">
        <v>5772.58</v>
      </c>
      <c r="D94" s="168">
        <f t="shared" si="6"/>
        <v>6394.35</v>
      </c>
      <c r="E94" s="143"/>
      <c r="F94" s="140">
        <f t="shared" si="4"/>
        <v>621.77</v>
      </c>
      <c r="G94" s="152"/>
      <c r="H94" s="152"/>
      <c r="I94" s="152"/>
      <c r="J94" s="152">
        <v>146.77000000000001</v>
      </c>
      <c r="K94" s="152">
        <v>300</v>
      </c>
      <c r="L94" s="152">
        <v>75</v>
      </c>
      <c r="M94" s="152">
        <v>100</v>
      </c>
      <c r="N94" s="152"/>
      <c r="O94" s="152"/>
      <c r="P94" s="152"/>
      <c r="Q94" s="154"/>
      <c r="R94" s="153"/>
    </row>
    <row r="95" spans="1:18" ht="12.75" customHeight="1" x14ac:dyDescent="0.2">
      <c r="A95" s="110" t="s">
        <v>900</v>
      </c>
      <c r="B95" s="111" t="s">
        <v>982</v>
      </c>
      <c r="C95" s="167"/>
      <c r="D95" s="168">
        <f t="shared" si="6"/>
        <v>0</v>
      </c>
      <c r="E95" s="143"/>
      <c r="F95" s="140">
        <f t="shared" si="4"/>
        <v>0</v>
      </c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4"/>
      <c r="R95" s="153"/>
    </row>
    <row r="96" spans="1:18" ht="12.75" customHeight="1" x14ac:dyDescent="0.2">
      <c r="A96" s="113" t="s">
        <v>977</v>
      </c>
      <c r="B96" s="106" t="s">
        <v>989</v>
      </c>
      <c r="C96" s="167"/>
      <c r="D96" s="168">
        <f t="shared" si="6"/>
        <v>0</v>
      </c>
      <c r="E96" s="124"/>
      <c r="F96" s="127">
        <f t="shared" si="4"/>
        <v>0</v>
      </c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4"/>
      <c r="R96" s="153"/>
    </row>
    <row r="97" spans="1:18" ht="12.75" customHeight="1" x14ac:dyDescent="0.2">
      <c r="A97" s="113" t="s">
        <v>978</v>
      </c>
      <c r="B97" s="106" t="s">
        <v>990</v>
      </c>
      <c r="C97" s="167"/>
      <c r="D97" s="168">
        <f t="shared" si="6"/>
        <v>0</v>
      </c>
      <c r="E97" s="143"/>
      <c r="F97" s="140">
        <f t="shared" si="4"/>
        <v>0</v>
      </c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4"/>
      <c r="R97" s="153"/>
    </row>
    <row r="98" spans="1:18" ht="12.75" customHeight="1" x14ac:dyDescent="0.2">
      <c r="A98" s="113" t="s">
        <v>979</v>
      </c>
      <c r="B98" s="106" t="s">
        <v>991</v>
      </c>
      <c r="C98" s="167"/>
      <c r="D98" s="168">
        <f t="shared" si="6"/>
        <v>0</v>
      </c>
      <c r="E98" s="112"/>
      <c r="F98" s="127">
        <f t="shared" si="4"/>
        <v>0</v>
      </c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4"/>
      <c r="R98" s="153"/>
    </row>
    <row r="99" spans="1:18" ht="12.75" customHeight="1" x14ac:dyDescent="0.2">
      <c r="A99" s="113" t="s">
        <v>980</v>
      </c>
      <c r="B99" s="106" t="s">
        <v>992</v>
      </c>
      <c r="C99" s="167"/>
      <c r="D99" s="168">
        <f t="shared" si="6"/>
        <v>0</v>
      </c>
      <c r="E99" s="112"/>
      <c r="F99" s="127">
        <f t="shared" si="4"/>
        <v>0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4"/>
      <c r="R99" s="153"/>
    </row>
    <row r="100" spans="1:18" ht="12.75" customHeight="1" x14ac:dyDescent="0.2">
      <c r="A100" s="113" t="s">
        <v>983</v>
      </c>
      <c r="B100" s="106" t="s">
        <v>993</v>
      </c>
      <c r="C100" s="167"/>
      <c r="D100" s="168">
        <f t="shared" si="6"/>
        <v>0</v>
      </c>
      <c r="E100" s="112"/>
      <c r="F100" s="127">
        <f t="shared" si="4"/>
        <v>0</v>
      </c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4"/>
      <c r="R100" s="153"/>
    </row>
    <row r="101" spans="1:18" ht="12.75" customHeight="1" x14ac:dyDescent="0.2">
      <c r="A101" s="113" t="s">
        <v>981</v>
      </c>
      <c r="B101" s="106" t="s">
        <v>994</v>
      </c>
      <c r="C101" s="167"/>
      <c r="D101" s="168">
        <f t="shared" si="6"/>
        <v>0</v>
      </c>
      <c r="E101" s="112"/>
      <c r="F101" s="127">
        <f t="shared" si="4"/>
        <v>0</v>
      </c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4"/>
      <c r="R101" s="153"/>
    </row>
    <row r="102" spans="1:18" ht="12.75" customHeight="1" x14ac:dyDescent="0.2">
      <c r="A102" s="113" t="s">
        <v>1017</v>
      </c>
      <c r="B102" s="106" t="s">
        <v>1018</v>
      </c>
      <c r="C102" s="167"/>
      <c r="D102" s="168">
        <f t="shared" si="6"/>
        <v>0</v>
      </c>
      <c r="E102" s="112"/>
      <c r="F102" s="127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4"/>
      <c r="R102" s="153"/>
    </row>
    <row r="103" spans="1:18" ht="12.75" customHeight="1" x14ac:dyDescent="0.2">
      <c r="A103" s="113" t="s">
        <v>1016</v>
      </c>
      <c r="B103" s="106" t="s">
        <v>1015</v>
      </c>
      <c r="C103" s="167"/>
      <c r="D103" s="168">
        <f t="shared" si="6"/>
        <v>0</v>
      </c>
      <c r="E103" s="112"/>
      <c r="F103" s="127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4"/>
      <c r="R103" s="153"/>
    </row>
    <row r="104" spans="1:18" ht="12.75" customHeight="1" x14ac:dyDescent="0.2">
      <c r="A104" s="110" t="s">
        <v>901</v>
      </c>
      <c r="B104" s="111" t="s">
        <v>902</v>
      </c>
      <c r="C104" s="167">
        <v>13496.26</v>
      </c>
      <c r="D104" s="168">
        <f t="shared" si="6"/>
        <v>13496.26</v>
      </c>
      <c r="E104" s="112"/>
      <c r="F104" s="127">
        <f t="shared" ref="F104:F109" si="7">SUM(G104:R104)</f>
        <v>0</v>
      </c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4"/>
      <c r="R104" s="153"/>
    </row>
    <row r="105" spans="1:18" ht="12.75" customHeight="1" x14ac:dyDescent="0.2">
      <c r="A105" s="110" t="s">
        <v>903</v>
      </c>
      <c r="B105" s="111" t="s">
        <v>739</v>
      </c>
      <c r="C105" s="167">
        <v>11313.13</v>
      </c>
      <c r="D105" s="168">
        <f t="shared" si="6"/>
        <v>11728.63</v>
      </c>
      <c r="E105" s="143"/>
      <c r="F105" s="140">
        <f t="shared" si="7"/>
        <v>415.5</v>
      </c>
      <c r="G105" s="152"/>
      <c r="H105" s="152"/>
      <c r="I105" s="152"/>
      <c r="J105" s="152"/>
      <c r="K105" s="152">
        <v>415.5</v>
      </c>
      <c r="L105" s="152"/>
      <c r="M105" s="152"/>
      <c r="N105" s="152"/>
      <c r="O105" s="152"/>
      <c r="P105" s="152"/>
      <c r="Q105" s="154"/>
      <c r="R105" s="153"/>
    </row>
    <row r="106" spans="1:18" ht="12.75" customHeight="1" x14ac:dyDescent="0.2">
      <c r="A106" s="115" t="s">
        <v>918</v>
      </c>
      <c r="B106" s="116" t="s">
        <v>970</v>
      </c>
      <c r="C106" s="167"/>
      <c r="D106" s="168">
        <f t="shared" si="6"/>
        <v>0</v>
      </c>
      <c r="E106" s="117"/>
      <c r="F106" s="127">
        <f t="shared" si="7"/>
        <v>0</v>
      </c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4"/>
      <c r="R106" s="153"/>
    </row>
    <row r="107" spans="1:18" ht="12.75" customHeight="1" x14ac:dyDescent="0.2">
      <c r="A107" s="115" t="s">
        <v>904</v>
      </c>
      <c r="B107" s="116" t="s">
        <v>905</v>
      </c>
      <c r="C107" s="167">
        <v>23624.97</v>
      </c>
      <c r="D107" s="168">
        <f t="shared" si="6"/>
        <v>23624.97</v>
      </c>
      <c r="E107" s="112"/>
      <c r="F107" s="127">
        <f t="shared" si="7"/>
        <v>0</v>
      </c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4"/>
      <c r="R107" s="153"/>
    </row>
    <row r="108" spans="1:18" ht="12.75" customHeight="1" x14ac:dyDescent="0.2">
      <c r="A108" s="115" t="s">
        <v>906</v>
      </c>
      <c r="B108" s="116" t="s">
        <v>907</v>
      </c>
      <c r="C108" s="167">
        <v>40380.5</v>
      </c>
      <c r="D108" s="168">
        <f t="shared" si="6"/>
        <v>40380.5</v>
      </c>
      <c r="E108" s="112"/>
      <c r="F108" s="127">
        <f t="shared" si="7"/>
        <v>0</v>
      </c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4"/>
      <c r="R108" s="153"/>
    </row>
    <row r="109" spans="1:18" ht="12.75" customHeight="1" x14ac:dyDescent="0.2">
      <c r="A109" s="115" t="s">
        <v>908</v>
      </c>
      <c r="B109" s="116" t="s">
        <v>909</v>
      </c>
      <c r="C109" s="167">
        <v>4367.33</v>
      </c>
      <c r="D109" s="168">
        <f t="shared" si="6"/>
        <v>4456.16</v>
      </c>
      <c r="E109" s="143"/>
      <c r="F109" s="140">
        <f t="shared" si="7"/>
        <v>88.83</v>
      </c>
      <c r="G109" s="152"/>
      <c r="H109" s="152"/>
      <c r="I109" s="152"/>
      <c r="J109" s="152">
        <v>22.64</v>
      </c>
      <c r="K109" s="152">
        <v>31.19</v>
      </c>
      <c r="L109" s="152">
        <v>35</v>
      </c>
      <c r="M109" s="152"/>
      <c r="N109" s="152"/>
      <c r="O109" s="152"/>
      <c r="P109" s="152"/>
      <c r="Q109" s="154"/>
      <c r="R109" s="153"/>
    </row>
    <row r="110" spans="1:18" ht="12.75" customHeight="1" x14ac:dyDescent="0.2">
      <c r="A110" s="115" t="s">
        <v>910</v>
      </c>
      <c r="B110" s="116" t="s">
        <v>911</v>
      </c>
      <c r="C110" s="167">
        <v>236.79</v>
      </c>
      <c r="D110" s="168">
        <f t="shared" si="6"/>
        <v>236.79</v>
      </c>
      <c r="E110" s="143"/>
      <c r="F110" s="144">
        <f t="shared" ref="F110:F112" si="8">SUM(G110:R110)</f>
        <v>0</v>
      </c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4"/>
      <c r="R110" s="153"/>
    </row>
    <row r="111" spans="1:18" ht="12.75" customHeight="1" x14ac:dyDescent="0.2">
      <c r="A111" s="115" t="s">
        <v>912</v>
      </c>
      <c r="B111" s="116" t="s">
        <v>821</v>
      </c>
      <c r="C111" s="167">
        <v>31.24</v>
      </c>
      <c r="D111" s="168">
        <f t="shared" si="6"/>
        <v>31.24</v>
      </c>
      <c r="E111" s="117"/>
      <c r="F111" s="127">
        <f t="shared" si="8"/>
        <v>0</v>
      </c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4"/>
      <c r="R111" s="153"/>
    </row>
    <row r="112" spans="1:18" ht="12.75" customHeight="1" thickBot="1" x14ac:dyDescent="0.25">
      <c r="A112" s="118" t="s">
        <v>919</v>
      </c>
      <c r="B112" s="119" t="s">
        <v>920</v>
      </c>
      <c r="C112" s="169"/>
      <c r="D112" s="170">
        <f t="shared" si="6"/>
        <v>0</v>
      </c>
      <c r="E112" s="120"/>
      <c r="F112" s="128">
        <f t="shared" si="8"/>
        <v>0</v>
      </c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6"/>
      <c r="R112" s="157"/>
    </row>
    <row r="113" spans="3:18" ht="11.1" customHeight="1" x14ac:dyDescent="0.2">
      <c r="C113" s="138"/>
      <c r="D113" s="138"/>
      <c r="E113" s="124"/>
      <c r="F113" s="125"/>
      <c r="G113" s="160"/>
      <c r="N113" s="139"/>
      <c r="O113" s="139"/>
    </row>
    <row r="114" spans="3:18" ht="11.1" customHeight="1" x14ac:dyDescent="0.2">
      <c r="C114" s="138"/>
      <c r="D114" s="138">
        <f>SUM(D32:D112)</f>
        <v>-68187.819999999978</v>
      </c>
      <c r="E114" s="124"/>
      <c r="F114" s="126"/>
      <c r="G114" s="161">
        <f>SUM(G4:G112)</f>
        <v>49223.290000000095</v>
      </c>
      <c r="H114" s="139">
        <f>SUM(H4:H112)</f>
        <v>0</v>
      </c>
      <c r="I114" s="139">
        <f t="shared" ref="I114:R114" si="9">SUM(I4:I112)</f>
        <v>0</v>
      </c>
      <c r="J114" s="139">
        <f t="shared" si="9"/>
        <v>0</v>
      </c>
      <c r="K114" s="139">
        <f t="shared" si="9"/>
        <v>-5.3290705182007514E-14</v>
      </c>
      <c r="L114" s="139">
        <f t="shared" si="9"/>
        <v>0</v>
      </c>
      <c r="M114" s="139">
        <f t="shared" si="9"/>
        <v>0</v>
      </c>
      <c r="N114" s="139">
        <f t="shared" si="9"/>
        <v>0</v>
      </c>
      <c r="O114" s="139">
        <f t="shared" si="9"/>
        <v>0</v>
      </c>
      <c r="P114" s="139">
        <f t="shared" si="9"/>
        <v>0</v>
      </c>
      <c r="Q114" s="139">
        <f t="shared" si="9"/>
        <v>0</v>
      </c>
      <c r="R114" s="139">
        <f t="shared" si="9"/>
        <v>0</v>
      </c>
    </row>
    <row r="115" spans="3:18" ht="11.1" customHeight="1" x14ac:dyDescent="0.2">
      <c r="C115" s="138"/>
      <c r="D115" s="138"/>
      <c r="E115" s="124"/>
      <c r="F115" s="126"/>
      <c r="G115" s="161"/>
      <c r="N115" s="139"/>
      <c r="O115" s="139"/>
    </row>
    <row r="116" spans="3:18" ht="11.1" customHeight="1" x14ac:dyDescent="0.2">
      <c r="C116" s="138"/>
      <c r="D116" s="138">
        <f>ROUND(SUM(D4:D112),2)</f>
        <v>0</v>
      </c>
      <c r="E116" s="124"/>
      <c r="F116" s="126"/>
      <c r="G116" s="161"/>
      <c r="N116" s="139"/>
      <c r="O116" s="139"/>
    </row>
    <row r="117" spans="3:18" ht="11.1" customHeight="1" x14ac:dyDescent="0.2">
      <c r="C117" s="138"/>
      <c r="D117" s="138"/>
    </row>
  </sheetData>
  <sheetProtection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2017-05-16T11:05:16Z</cp:lastPrinted>
  <dcterms:created xsi:type="dcterms:W3CDTF">2009-02-26T10:12:44Z</dcterms:created>
  <dcterms:modified xsi:type="dcterms:W3CDTF">2017-09-25T15:26:29Z</dcterms:modified>
</cp:coreProperties>
</file>