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ILT International\Finance\Accounts\2017 Accounts\Management Accounts\P10 October 2017\"/>
    </mc:Choice>
  </mc:AlternateContent>
  <bookViews>
    <workbookView xWindow="11520" yWindow="60" windowWidth="18585" windowHeight="1179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 October" sheetId="15" r:id="rId8"/>
    <sheet name="TB" sheetId="13" r:id="rId9"/>
    <sheet name="Investment" sheetId="16" r:id="rId10"/>
  </sheets>
  <externalReferences>
    <externalReference r:id="rId11"/>
    <externalReference r:id="rId12"/>
  </externalReferences>
  <definedNames>
    <definedName name="_xlnm._FilterDatabase" localSheetId="0" hidden="1">'Man Accs '!$B$5:$I$5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Sheet'!$A$1:$G$40</definedName>
    <definedName name="_xlnm.Print_Area" localSheetId="0">'Man Accs '!$B$1:$I$83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TB!$A$1:$Q$121</definedName>
    <definedName name="_xlnm.Print_Area" localSheetId="7">'TB (2) - October'!$A$1:$F$121</definedName>
    <definedName name="_xlnm.Print_Titles" localSheetId="3">'Man Accs 28.4.09'!$3:$3</definedName>
  </definedNames>
  <calcPr calcId="162913"/>
</workbook>
</file>

<file path=xl/calcChain.xml><?xml version="1.0" encoding="utf-8"?>
<calcChain xmlns="http://schemas.openxmlformats.org/spreadsheetml/2006/main">
  <c r="K7" i="10" l="1"/>
  <c r="K83" i="10"/>
  <c r="K81" i="10"/>
  <c r="K44" i="10"/>
  <c r="K80" i="10"/>
  <c r="K79" i="10"/>
  <c r="K76" i="10"/>
  <c r="K73" i="10"/>
  <c r="K70" i="10"/>
  <c r="K67" i="10"/>
  <c r="K66" i="10"/>
  <c r="K65" i="10"/>
  <c r="K60" i="10"/>
  <c r="K57" i="10"/>
  <c r="K56" i="10"/>
  <c r="K55" i="10"/>
  <c r="K54" i="10"/>
  <c r="K51" i="10"/>
  <c r="K50" i="10"/>
  <c r="K49" i="10"/>
  <c r="K42" i="10"/>
  <c r="K38" i="10"/>
  <c r="K34" i="10"/>
  <c r="K33" i="10"/>
  <c r="K32" i="10"/>
  <c r="K31" i="10"/>
  <c r="K30" i="10"/>
  <c r="K24" i="10"/>
  <c r="K23" i="10"/>
  <c r="K22" i="10"/>
  <c r="K21" i="10"/>
  <c r="K20" i="10"/>
  <c r="K17" i="10"/>
  <c r="K16" i="10"/>
  <c r="K13" i="10"/>
  <c r="K8" i="10"/>
  <c r="I9" i="10"/>
  <c r="K9" i="10" s="1"/>
  <c r="I23" i="10"/>
  <c r="I24" i="10" s="1"/>
  <c r="I35" i="10"/>
  <c r="K35" i="10" s="1"/>
  <c r="I39" i="10"/>
  <c r="K39" i="10" s="1"/>
  <c r="I43" i="10"/>
  <c r="K43" i="10" s="1"/>
  <c r="I56" i="10"/>
  <c r="I57" i="10"/>
  <c r="I61" i="10"/>
  <c r="K61" i="10" s="1"/>
  <c r="I76" i="10"/>
  <c r="I80" i="10" s="1"/>
  <c r="I81" i="10" l="1"/>
  <c r="I44" i="10"/>
  <c r="I26" i="10"/>
  <c r="K26" i="10" s="1"/>
  <c r="I83" i="10"/>
  <c r="B44" i="16"/>
  <c r="L27" i="16"/>
  <c r="L38" i="16"/>
  <c r="L43" i="16"/>
  <c r="K43" i="16" s="1"/>
  <c r="H43" i="16"/>
  <c r="L42" i="16"/>
  <c r="L44" i="16" s="1"/>
  <c r="J42" i="16"/>
  <c r="G42" i="16"/>
  <c r="L40" i="16"/>
  <c r="L36" i="16"/>
  <c r="I36" i="16"/>
  <c r="F36" i="16"/>
  <c r="B2" i="3"/>
  <c r="E32" i="10" l="1"/>
  <c r="E33" i="10"/>
  <c r="C30" i="10"/>
  <c r="F118" i="15"/>
  <c r="H17" i="10" l="1"/>
  <c r="E15" i="3" l="1"/>
  <c r="E60" i="10" l="1"/>
  <c r="Y31" i="10" l="1"/>
  <c r="E31" i="10" s="1"/>
  <c r="S31" i="10" l="1"/>
  <c r="R31" i="10"/>
  <c r="T31" i="10"/>
  <c r="U31" i="10"/>
  <c r="V31" i="10"/>
  <c r="W31" i="10"/>
  <c r="X31" i="10"/>
  <c r="Q31" i="10"/>
  <c r="H30" i="10"/>
  <c r="E36" i="13"/>
  <c r="D36" i="13" s="1"/>
  <c r="E37" i="13"/>
  <c r="D37" i="13" s="1"/>
  <c r="E38" i="13"/>
  <c r="D38" i="13" s="1"/>
  <c r="E39" i="13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F8" i="10" s="1"/>
  <c r="G8" i="10" s="1"/>
  <c r="E47" i="13"/>
  <c r="D47" i="13" s="1"/>
  <c r="E48" i="13"/>
  <c r="D48" i="13" s="1"/>
  <c r="E49" i="13"/>
  <c r="D49" i="13" s="1"/>
  <c r="F7" i="10" s="1"/>
  <c r="E50" i="13"/>
  <c r="D50" i="13" s="1"/>
  <c r="E51" i="13"/>
  <c r="D51" i="13" s="1"/>
  <c r="E52" i="13"/>
  <c r="D52" i="13" s="1"/>
  <c r="E53" i="13"/>
  <c r="D53" i="13" s="1"/>
  <c r="E54" i="13"/>
  <c r="D54" i="13" s="1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E95" i="13"/>
  <c r="D95" i="13" s="1"/>
  <c r="E96" i="13"/>
  <c r="D96" i="13" s="1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G118" i="13"/>
  <c r="H118" i="13"/>
  <c r="I118" i="13"/>
  <c r="J118" i="13"/>
  <c r="K118" i="13"/>
  <c r="L118" i="13"/>
  <c r="M118" i="13"/>
  <c r="F9" i="10" l="1"/>
  <c r="H31" i="10"/>
  <c r="D118" i="13"/>
  <c r="L32" i="16" l="1"/>
  <c r="K32" i="16"/>
  <c r="H32" i="16"/>
  <c r="L31" i="16"/>
  <c r="J31" i="16"/>
  <c r="G31" i="16"/>
  <c r="L29" i="16"/>
  <c r="L25" i="16"/>
  <c r="I25" i="16"/>
  <c r="F25" i="16"/>
  <c r="B22" i="16"/>
  <c r="B33" i="16" s="1"/>
  <c r="L21" i="16"/>
  <c r="K21" i="16"/>
  <c r="H21" i="16"/>
  <c r="L20" i="16"/>
  <c r="J20" i="16"/>
  <c r="G20" i="16"/>
  <c r="L18" i="16"/>
  <c r="L17" i="16"/>
  <c r="I17" i="16"/>
  <c r="F17" i="16"/>
  <c r="L14" i="16"/>
  <c r="I14" i="16"/>
  <c r="F14" i="16"/>
  <c r="L13" i="16"/>
  <c r="I13" i="16"/>
  <c r="F13" i="16"/>
  <c r="L12" i="16"/>
  <c r="I12" i="16"/>
  <c r="F12" i="16"/>
  <c r="B11" i="16"/>
  <c r="L10" i="16"/>
  <c r="K10" i="16" s="1"/>
  <c r="H10" i="16"/>
  <c r="I8" i="16"/>
  <c r="L7" i="16"/>
  <c r="L11" i="16" s="1"/>
  <c r="L22" i="16" s="1"/>
  <c r="L33" i="16" s="1"/>
  <c r="L5" i="16"/>
  <c r="I5" i="16"/>
  <c r="F5" i="16"/>
  <c r="K4" i="16"/>
  <c r="J4" i="16"/>
  <c r="J11" i="16" s="1"/>
  <c r="J22" i="16" s="1"/>
  <c r="J33" i="16" s="1"/>
  <c r="J44" i="16" s="1"/>
  <c r="I4" i="16"/>
  <c r="I11" i="16" s="1"/>
  <c r="I22" i="16" s="1"/>
  <c r="I33" i="16" s="1"/>
  <c r="I44" i="16" s="1"/>
  <c r="H4" i="16"/>
  <c r="G4" i="16"/>
  <c r="G11" i="16" s="1"/>
  <c r="G22" i="16" s="1"/>
  <c r="G33" i="16" s="1"/>
  <c r="G44" i="16" s="1"/>
  <c r="F4" i="16"/>
  <c r="F11" i="16" s="1"/>
  <c r="F22" i="16" s="1"/>
  <c r="F33" i="16" s="1"/>
  <c r="F44" i="16" s="1"/>
  <c r="H11" i="16" l="1"/>
  <c r="H22" i="16" s="1"/>
  <c r="H33" i="16" s="1"/>
  <c r="H44" i="16" s="1"/>
  <c r="K11" i="16"/>
  <c r="K22" i="16" s="1"/>
  <c r="K33" i="16" s="1"/>
  <c r="K44" i="16" s="1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D24" i="13" s="1"/>
  <c r="E25" i="13"/>
  <c r="E27" i="13"/>
  <c r="E28" i="13"/>
  <c r="E29" i="13"/>
  <c r="E30" i="13"/>
  <c r="E31" i="13"/>
  <c r="E32" i="13"/>
  <c r="E33" i="13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C3" i="13"/>
  <c r="D29" i="15" l="1"/>
  <c r="D30" i="15"/>
  <c r="D31" i="15"/>
  <c r="D32" i="15"/>
  <c r="D87" i="15"/>
  <c r="D29" i="13"/>
  <c r="D30" i="13"/>
  <c r="D31" i="13"/>
  <c r="D32" i="13"/>
  <c r="F76" i="10" l="1"/>
  <c r="AB60" i="10" l="1"/>
  <c r="C76" i="10" l="1"/>
  <c r="O61" i="10" l="1"/>
  <c r="O57" i="10"/>
  <c r="O80" i="10"/>
  <c r="P61" i="10"/>
  <c r="Q61" i="10"/>
  <c r="R61" i="10"/>
  <c r="S61" i="10"/>
  <c r="T61" i="10"/>
  <c r="U61" i="10"/>
  <c r="V61" i="10"/>
  <c r="W61" i="10"/>
  <c r="X61" i="10"/>
  <c r="Y61" i="10"/>
  <c r="Z61" i="10"/>
  <c r="AA61" i="10"/>
  <c r="O24" i="10"/>
  <c r="D11" i="13"/>
  <c r="O81" i="10" l="1"/>
  <c r="E61" i="10"/>
  <c r="E42" i="10"/>
  <c r="Y42" i="10" l="1"/>
  <c r="V42" i="10"/>
  <c r="V43" i="10" s="1"/>
  <c r="R43" i="10" l="1"/>
  <c r="C23" i="10" l="1"/>
  <c r="F23" i="10" s="1"/>
  <c r="E23" i="10"/>
  <c r="H76" i="10" l="1"/>
  <c r="E76" i="10"/>
  <c r="P43" i="10"/>
  <c r="Q43" i="10"/>
  <c r="T43" i="10"/>
  <c r="W43" i="10"/>
  <c r="Y43" i="10"/>
  <c r="Z43" i="10"/>
  <c r="O43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O39" i="10"/>
  <c r="O9" i="10"/>
  <c r="O26" i="10" s="1"/>
  <c r="AC36" i="10"/>
  <c r="AC6" i="10"/>
  <c r="AC37" i="10"/>
  <c r="AC40" i="10"/>
  <c r="AC41" i="10"/>
  <c r="O35" i="10"/>
  <c r="O44" i="10" l="1"/>
  <c r="O83" i="10" s="1"/>
  <c r="D76" i="10"/>
  <c r="G76" i="10"/>
  <c r="R23" i="10"/>
  <c r="S23" i="10"/>
  <c r="T23" i="10"/>
  <c r="U23" i="10"/>
  <c r="V23" i="10"/>
  <c r="W23" i="10"/>
  <c r="X23" i="10"/>
  <c r="Y23" i="10"/>
  <c r="Z23" i="10"/>
  <c r="AA23" i="10"/>
  <c r="S22" i="10"/>
  <c r="T22" i="10"/>
  <c r="U22" i="10"/>
  <c r="V22" i="10"/>
  <c r="W22" i="10"/>
  <c r="X22" i="10"/>
  <c r="Y22" i="10"/>
  <c r="Z22" i="10"/>
  <c r="AA22" i="10"/>
  <c r="Q23" i="10"/>
  <c r="P23" i="10"/>
  <c r="H56" i="10"/>
  <c r="AB56" i="10"/>
  <c r="AC56" i="10" s="1"/>
  <c r="E56" i="10"/>
  <c r="C56" i="10"/>
  <c r="F56" i="10" s="1"/>
  <c r="AB23" i="10" l="1"/>
  <c r="AC23" i="10" s="1"/>
  <c r="D23" i="10"/>
  <c r="H23" i="10"/>
  <c r="G23" i="10" s="1"/>
  <c r="G56" i="10"/>
  <c r="D56" i="10"/>
  <c r="E38" i="10" l="1"/>
  <c r="E39" i="10" s="1"/>
  <c r="E43" i="10"/>
  <c r="E30" i="10"/>
  <c r="D106" i="15"/>
  <c r="D107" i="15"/>
  <c r="D57" i="15"/>
  <c r="D30" i="10" l="1"/>
  <c r="D116" i="15"/>
  <c r="D115" i="15"/>
  <c r="D114" i="15"/>
  <c r="C79" i="10" s="1"/>
  <c r="D113" i="15"/>
  <c r="C21" i="10" s="1"/>
  <c r="D112" i="15"/>
  <c r="C20" i="10" s="1"/>
  <c r="D111" i="15"/>
  <c r="D110" i="15"/>
  <c r="D109" i="15"/>
  <c r="C22" i="10" s="1"/>
  <c r="D108" i="15"/>
  <c r="D105" i="15"/>
  <c r="D104" i="15"/>
  <c r="D103" i="15"/>
  <c r="D102" i="15"/>
  <c r="D101" i="15"/>
  <c r="D100" i="15"/>
  <c r="D99" i="15"/>
  <c r="D98" i="15"/>
  <c r="D97" i="15"/>
  <c r="D96" i="15"/>
  <c r="C73" i="10" s="1"/>
  <c r="D95" i="15"/>
  <c r="D94" i="15"/>
  <c r="D93" i="15"/>
  <c r="D92" i="15"/>
  <c r="D91" i="15"/>
  <c r="C55" i="10" s="1"/>
  <c r="D90" i="15"/>
  <c r="D89" i="15"/>
  <c r="D88" i="15"/>
  <c r="D86" i="15"/>
  <c r="D85" i="15"/>
  <c r="D84" i="15"/>
  <c r="D83" i="15"/>
  <c r="D82" i="15"/>
  <c r="D81" i="15"/>
  <c r="D80" i="15"/>
  <c r="D79" i="15"/>
  <c r="D78" i="15"/>
  <c r="C17" i="10" s="1"/>
  <c r="D77" i="15"/>
  <c r="D76" i="15"/>
  <c r="D75" i="15"/>
  <c r="D74" i="15"/>
  <c r="D73" i="15"/>
  <c r="D72" i="15"/>
  <c r="D71" i="15"/>
  <c r="D70" i="15"/>
  <c r="D69" i="15"/>
  <c r="C16" i="10" s="1"/>
  <c r="D68" i="15"/>
  <c r="D67" i="15"/>
  <c r="D66" i="15"/>
  <c r="D65" i="15"/>
  <c r="C54" i="10" s="1"/>
  <c r="D64" i="15"/>
  <c r="C51" i="10" s="1"/>
  <c r="D63" i="15"/>
  <c r="C50" i="10" s="1"/>
  <c r="D62" i="15"/>
  <c r="D61" i="15"/>
  <c r="D60" i="15"/>
  <c r="D59" i="15"/>
  <c r="D58" i="15"/>
  <c r="C49" i="10" s="1"/>
  <c r="D56" i="15"/>
  <c r="D55" i="15"/>
  <c r="D54" i="15"/>
  <c r="D53" i="15"/>
  <c r="D52" i="15"/>
  <c r="D51" i="15"/>
  <c r="D50" i="15"/>
  <c r="D49" i="15"/>
  <c r="D48" i="15"/>
  <c r="D47" i="15"/>
  <c r="D46" i="15"/>
  <c r="C8" i="10" s="1"/>
  <c r="D8" i="10" s="1"/>
  <c r="D45" i="15"/>
  <c r="D44" i="15"/>
  <c r="C34" i="10" s="1"/>
  <c r="D43" i="15"/>
  <c r="D42" i="15"/>
  <c r="D41" i="15"/>
  <c r="D40" i="15"/>
  <c r="D39" i="15"/>
  <c r="C33" i="10" s="1"/>
  <c r="D38" i="15"/>
  <c r="D37" i="15"/>
  <c r="C32" i="10" s="1"/>
  <c r="C31" i="10" s="1"/>
  <c r="E36" i="15"/>
  <c r="D36" i="15" s="1"/>
  <c r="D33" i="15"/>
  <c r="D28" i="15"/>
  <c r="D27" i="15"/>
  <c r="D25" i="15"/>
  <c r="D24" i="15"/>
  <c r="D23" i="15"/>
  <c r="D22" i="15"/>
  <c r="E21" i="15"/>
  <c r="D21" i="15" s="1"/>
  <c r="E20" i="15"/>
  <c r="D20" i="15" s="1"/>
  <c r="E19" i="15"/>
  <c r="D19" i="15" s="1"/>
  <c r="E18" i="15"/>
  <c r="D18" i="15" s="1"/>
  <c r="E17" i="15"/>
  <c r="D17" i="15" s="1"/>
  <c r="E16" i="15"/>
  <c r="D16" i="15" s="1"/>
  <c r="E15" i="15"/>
  <c r="D15" i="15" s="1"/>
  <c r="E14" i="15"/>
  <c r="D14" i="15" s="1"/>
  <c r="E13" i="15"/>
  <c r="D13" i="15" s="1"/>
  <c r="E12" i="15"/>
  <c r="D12" i="15" s="1"/>
  <c r="E10" i="15"/>
  <c r="D10" i="15" s="1"/>
  <c r="E9" i="15"/>
  <c r="D9" i="15" s="1"/>
  <c r="E8" i="15"/>
  <c r="D8" i="15" s="1"/>
  <c r="E7" i="15"/>
  <c r="D7" i="15" s="1"/>
  <c r="E6" i="15"/>
  <c r="D6" i="15" s="1"/>
  <c r="E5" i="15"/>
  <c r="D5" i="15" s="1"/>
  <c r="E4" i="15"/>
  <c r="D4" i="15" s="1"/>
  <c r="C3" i="15"/>
  <c r="C7" i="10" l="1"/>
  <c r="C9" i="10" s="1"/>
  <c r="C70" i="10"/>
  <c r="C42" i="10"/>
  <c r="D42" i="10" s="1"/>
  <c r="C38" i="10"/>
  <c r="C39" i="10" s="1"/>
  <c r="D39" i="10" s="1"/>
  <c r="C65" i="10"/>
  <c r="C13" i="10"/>
  <c r="C24" i="10" s="1"/>
  <c r="C66" i="10"/>
  <c r="C60" i="10"/>
  <c r="C61" i="10" s="1"/>
  <c r="C57" i="10"/>
  <c r="C67" i="10"/>
  <c r="D26" i="15"/>
  <c r="D3" i="15" s="1"/>
  <c r="D118" i="15"/>
  <c r="C86" i="10" s="1"/>
  <c r="C26" i="10" l="1"/>
  <c r="C43" i="10"/>
  <c r="D43" i="10" s="1"/>
  <c r="D38" i="10"/>
  <c r="C80" i="10"/>
  <c r="C81" i="10" s="1"/>
  <c r="C35" i="10"/>
  <c r="D60" i="10"/>
  <c r="D120" i="15"/>
  <c r="D31" i="10"/>
  <c r="E3" i="15"/>
  <c r="F40" i="3"/>
  <c r="F38" i="3"/>
  <c r="E24" i="3"/>
  <c r="C44" i="10" l="1"/>
  <c r="C83" i="10" s="1"/>
  <c r="C85" i="10" s="1"/>
  <c r="E25" i="3"/>
  <c r="F28" i="3" s="1"/>
  <c r="F30" i="3" s="1"/>
  <c r="F42" i="3" s="1"/>
  <c r="C87" i="10" l="1"/>
  <c r="D14" i="13"/>
  <c r="F26" i="13" l="1"/>
  <c r="F118" i="13" s="1"/>
  <c r="E26" i="13" l="1"/>
  <c r="F30" i="10" l="1"/>
  <c r="H38" i="10" l="1"/>
  <c r="H39" i="10" s="1"/>
  <c r="AB38" i="10"/>
  <c r="AB39" i="10" l="1"/>
  <c r="AC39" i="10" s="1"/>
  <c r="AC38" i="10"/>
  <c r="G30" i="10"/>
  <c r="AA79" i="10"/>
  <c r="Z79" i="10"/>
  <c r="Y79" i="10"/>
  <c r="X79" i="10"/>
  <c r="W79" i="10"/>
  <c r="V79" i="10"/>
  <c r="U79" i="10"/>
  <c r="T79" i="10"/>
  <c r="S79" i="10"/>
  <c r="E79" i="10" s="1"/>
  <c r="R79" i="10"/>
  <c r="Q79" i="10"/>
  <c r="P79" i="10"/>
  <c r="H60" i="10"/>
  <c r="H61" i="10" s="1"/>
  <c r="AA7" i="10"/>
  <c r="AA9" i="10" s="1"/>
  <c r="Z7" i="10"/>
  <c r="Z9" i="10" s="1"/>
  <c r="Y7" i="10"/>
  <c r="Y9" i="10" s="1"/>
  <c r="X7" i="10"/>
  <c r="X9" i="10" s="1"/>
  <c r="W7" i="10"/>
  <c r="W9" i="10" s="1"/>
  <c r="V7" i="10"/>
  <c r="V9" i="10" s="1"/>
  <c r="U7" i="10"/>
  <c r="U9" i="10" s="1"/>
  <c r="T7" i="10"/>
  <c r="T9" i="10" s="1"/>
  <c r="S7" i="10"/>
  <c r="S9" i="10" s="1"/>
  <c r="R7" i="10"/>
  <c r="R9" i="10" s="1"/>
  <c r="Q7" i="10"/>
  <c r="Q9" i="10" s="1"/>
  <c r="P7" i="10"/>
  <c r="E7" i="10" s="1"/>
  <c r="E9" i="10" s="1"/>
  <c r="D9" i="10" s="1"/>
  <c r="D79" i="10" l="1"/>
  <c r="P9" i="10"/>
  <c r="D7" i="10"/>
  <c r="H7" i="10"/>
  <c r="H9" i="10" s="1"/>
  <c r="P32" i="10"/>
  <c r="H32" i="10" s="1"/>
  <c r="AB79" i="10"/>
  <c r="AC79" i="10" s="1"/>
  <c r="H79" i="10"/>
  <c r="Q118" i="13"/>
  <c r="P118" i="13"/>
  <c r="O118" i="13"/>
  <c r="N118" i="13"/>
  <c r="D32" i="10" l="1"/>
  <c r="B24" i="3"/>
  <c r="D22" i="13"/>
  <c r="F38" i="10" l="1"/>
  <c r="F39" i="10" s="1"/>
  <c r="G39" i="10" s="1"/>
  <c r="D8" i="13"/>
  <c r="D19" i="13"/>
  <c r="E4" i="13"/>
  <c r="G38" i="10" l="1"/>
  <c r="D26" i="13"/>
  <c r="F49" i="10"/>
  <c r="F50" i="10"/>
  <c r="F51" i="10"/>
  <c r="F54" i="10"/>
  <c r="F17" i="10"/>
  <c r="F55" i="10"/>
  <c r="F73" i="10"/>
  <c r="F60" i="10"/>
  <c r="F61" i="10" s="1"/>
  <c r="G61" i="10" s="1"/>
  <c r="F22" i="10"/>
  <c r="F20" i="10"/>
  <c r="F21" i="10"/>
  <c r="F79" i="10"/>
  <c r="F70" i="10" l="1"/>
  <c r="F57" i="10"/>
  <c r="F13" i="10"/>
  <c r="F67" i="10"/>
  <c r="F66" i="10"/>
  <c r="F65" i="10"/>
  <c r="F16" i="10"/>
  <c r="AB61" i="10"/>
  <c r="F33" i="10"/>
  <c r="F32" i="10"/>
  <c r="D33" i="13"/>
  <c r="D28" i="13"/>
  <c r="C34" i="3" s="1"/>
  <c r="D27" i="13"/>
  <c r="D25" i="13"/>
  <c r="B11" i="3" s="1"/>
  <c r="B22" i="3"/>
  <c r="D23" i="13"/>
  <c r="D21" i="13"/>
  <c r="D20" i="13"/>
  <c r="D18" i="13"/>
  <c r="D17" i="13"/>
  <c r="D16" i="13"/>
  <c r="B19" i="3" s="1"/>
  <c r="D15" i="13"/>
  <c r="D12" i="13"/>
  <c r="B20" i="3" s="1"/>
  <c r="D10" i="13"/>
  <c r="D9" i="13"/>
  <c r="D7" i="13"/>
  <c r="D6" i="13"/>
  <c r="B10" i="3" s="1"/>
  <c r="D5" i="13"/>
  <c r="C6" i="3" s="1"/>
  <c r="D4" i="13"/>
  <c r="F31" i="10" l="1"/>
  <c r="F80" i="10"/>
  <c r="F81" i="10" s="1"/>
  <c r="F24" i="10"/>
  <c r="F26" i="10" s="1"/>
  <c r="B14" i="3"/>
  <c r="C40" i="3"/>
  <c r="F34" i="10"/>
  <c r="F42" i="10"/>
  <c r="F43" i="10" s="1"/>
  <c r="C35" i="3"/>
  <c r="F35" i="10" l="1"/>
  <c r="F44" i="10" s="1"/>
  <c r="G9" i="10"/>
  <c r="F86" i="10"/>
  <c r="C36" i="3"/>
  <c r="G7" i="10"/>
  <c r="G31" i="10"/>
  <c r="F83" i="10" l="1"/>
  <c r="F87" i="10" s="1"/>
  <c r="F85" i="10" l="1"/>
  <c r="B12" i="3"/>
  <c r="B15" i="3" s="1"/>
  <c r="S42" i="10" l="1"/>
  <c r="S43" i="10" s="1"/>
  <c r="U43" i="10"/>
  <c r="X43" i="10"/>
  <c r="AA42" i="10"/>
  <c r="AA43" i="10" s="1"/>
  <c r="AA70" i="10"/>
  <c r="Z70" i="10"/>
  <c r="Y70" i="10"/>
  <c r="X70" i="10"/>
  <c r="W70" i="10"/>
  <c r="V70" i="10"/>
  <c r="U70" i="10"/>
  <c r="T70" i="10"/>
  <c r="S70" i="10"/>
  <c r="E70" i="10" s="1"/>
  <c r="D70" i="10" s="1"/>
  <c r="R70" i="10"/>
  <c r="Q70" i="10"/>
  <c r="P70" i="10"/>
  <c r="AA66" i="10"/>
  <c r="Z66" i="10"/>
  <c r="Y66" i="10"/>
  <c r="X66" i="10"/>
  <c r="W66" i="10"/>
  <c r="V66" i="10"/>
  <c r="U66" i="10"/>
  <c r="T66" i="10"/>
  <c r="S66" i="10"/>
  <c r="E66" i="10" s="1"/>
  <c r="D66" i="10" s="1"/>
  <c r="R66" i="10"/>
  <c r="Q66" i="10"/>
  <c r="P66" i="10"/>
  <c r="AA67" i="10"/>
  <c r="Z67" i="10"/>
  <c r="Y67" i="10"/>
  <c r="X67" i="10"/>
  <c r="W67" i="10"/>
  <c r="V67" i="10"/>
  <c r="U67" i="10"/>
  <c r="T67" i="10"/>
  <c r="S67" i="10"/>
  <c r="E67" i="10" s="1"/>
  <c r="D67" i="10" s="1"/>
  <c r="R67" i="10"/>
  <c r="Q67" i="10"/>
  <c r="P67" i="10"/>
  <c r="AA73" i="10"/>
  <c r="Z73" i="10"/>
  <c r="Y73" i="10"/>
  <c r="X73" i="10"/>
  <c r="W73" i="10"/>
  <c r="V73" i="10"/>
  <c r="U73" i="10"/>
  <c r="T73" i="10"/>
  <c r="S73" i="10"/>
  <c r="E73" i="10" s="1"/>
  <c r="D73" i="10" s="1"/>
  <c r="R73" i="10"/>
  <c r="Q73" i="10"/>
  <c r="P73" i="10"/>
  <c r="AA76" i="10"/>
  <c r="Z76" i="10"/>
  <c r="Y76" i="10"/>
  <c r="X76" i="10"/>
  <c r="W76" i="10"/>
  <c r="V76" i="10"/>
  <c r="U76" i="10"/>
  <c r="T76" i="10"/>
  <c r="S76" i="10"/>
  <c r="R76" i="10"/>
  <c r="Q76" i="10"/>
  <c r="P76" i="10"/>
  <c r="AA17" i="10"/>
  <c r="Z17" i="10"/>
  <c r="Y17" i="10"/>
  <c r="X17" i="10"/>
  <c r="W17" i="10"/>
  <c r="V17" i="10"/>
  <c r="U17" i="10"/>
  <c r="T17" i="10"/>
  <c r="S17" i="10"/>
  <c r="E17" i="10" s="1"/>
  <c r="D17" i="10" s="1"/>
  <c r="R17" i="10"/>
  <c r="Q17" i="10"/>
  <c r="P17" i="10"/>
  <c r="AA55" i="10"/>
  <c r="Z55" i="10"/>
  <c r="Y55" i="10"/>
  <c r="X55" i="10"/>
  <c r="W55" i="10"/>
  <c r="V55" i="10"/>
  <c r="U55" i="10"/>
  <c r="T55" i="10"/>
  <c r="S55" i="10"/>
  <c r="E55" i="10" s="1"/>
  <c r="D55" i="10" s="1"/>
  <c r="R55" i="10"/>
  <c r="Q55" i="10"/>
  <c r="P55" i="10"/>
  <c r="E22" i="10"/>
  <c r="D22" i="10" s="1"/>
  <c r="R22" i="10"/>
  <c r="Q22" i="10"/>
  <c r="P22" i="10"/>
  <c r="AA16" i="10"/>
  <c r="Z16" i="10"/>
  <c r="Y16" i="10"/>
  <c r="X16" i="10"/>
  <c r="W16" i="10"/>
  <c r="V16" i="10"/>
  <c r="U16" i="10"/>
  <c r="T16" i="10"/>
  <c r="S16" i="10"/>
  <c r="E16" i="10" s="1"/>
  <c r="D16" i="10" s="1"/>
  <c r="R16" i="10"/>
  <c r="Q16" i="10"/>
  <c r="P16" i="10"/>
  <c r="AA13" i="10"/>
  <c r="Z13" i="10"/>
  <c r="Y13" i="10"/>
  <c r="X13" i="10"/>
  <c r="W13" i="10"/>
  <c r="V13" i="10"/>
  <c r="U13" i="10"/>
  <c r="E13" i="10" s="1"/>
  <c r="T13" i="10"/>
  <c r="S13" i="10"/>
  <c r="R13" i="10"/>
  <c r="Q13" i="10"/>
  <c r="P13" i="10"/>
  <c r="AA65" i="10"/>
  <c r="AA80" i="10" s="1"/>
  <c r="Z65" i="10"/>
  <c r="Z80" i="10" s="1"/>
  <c r="Y65" i="10"/>
  <c r="Y80" i="10" s="1"/>
  <c r="X65" i="10"/>
  <c r="X80" i="10" s="1"/>
  <c r="W65" i="10"/>
  <c r="W80" i="10" s="1"/>
  <c r="V65" i="10"/>
  <c r="V80" i="10" s="1"/>
  <c r="U65" i="10"/>
  <c r="U80" i="10" s="1"/>
  <c r="T65" i="10"/>
  <c r="T80" i="10" s="1"/>
  <c r="S65" i="10"/>
  <c r="R65" i="10"/>
  <c r="R80" i="10" s="1"/>
  <c r="Q65" i="10"/>
  <c r="Q80" i="10" s="1"/>
  <c r="P65" i="10"/>
  <c r="P80" i="10" s="1"/>
  <c r="AA21" i="10"/>
  <c r="Z21" i="10"/>
  <c r="Y21" i="10"/>
  <c r="X21" i="10"/>
  <c r="W21" i="10"/>
  <c r="V21" i="10"/>
  <c r="U21" i="10"/>
  <c r="T21" i="10"/>
  <c r="S21" i="10"/>
  <c r="E21" i="10" s="1"/>
  <c r="D21" i="10" s="1"/>
  <c r="R21" i="10"/>
  <c r="Q21" i="10"/>
  <c r="P21" i="10"/>
  <c r="AA20" i="10"/>
  <c r="Z20" i="10"/>
  <c r="Y20" i="10"/>
  <c r="X20" i="10"/>
  <c r="W20" i="10"/>
  <c r="V20" i="10"/>
  <c r="U20" i="10"/>
  <c r="T20" i="10"/>
  <c r="S20" i="10"/>
  <c r="E20" i="10" s="1"/>
  <c r="D20" i="10" s="1"/>
  <c r="R20" i="10"/>
  <c r="Q20" i="10"/>
  <c r="P20" i="10"/>
  <c r="AA54" i="10"/>
  <c r="Z54" i="10"/>
  <c r="Y54" i="10"/>
  <c r="X54" i="10"/>
  <c r="E54" i="10" s="1"/>
  <c r="W54" i="10"/>
  <c r="V54" i="10"/>
  <c r="U54" i="10"/>
  <c r="T54" i="10"/>
  <c r="S54" i="10"/>
  <c r="R54" i="10"/>
  <c r="Q54" i="10"/>
  <c r="P54" i="10"/>
  <c r="AA51" i="10"/>
  <c r="Z51" i="10"/>
  <c r="Y51" i="10"/>
  <c r="X51" i="10"/>
  <c r="E51" i="10" s="1"/>
  <c r="W51" i="10"/>
  <c r="V51" i="10"/>
  <c r="U51" i="10"/>
  <c r="T51" i="10"/>
  <c r="S51" i="10"/>
  <c r="R51" i="10"/>
  <c r="Q51" i="10"/>
  <c r="P51" i="10"/>
  <c r="AA50" i="10"/>
  <c r="Z50" i="10"/>
  <c r="Y50" i="10"/>
  <c r="X50" i="10"/>
  <c r="E50" i="10" s="1"/>
  <c r="W50" i="10"/>
  <c r="V50" i="10"/>
  <c r="U50" i="10"/>
  <c r="T50" i="10"/>
  <c r="S50" i="10"/>
  <c r="R50" i="10"/>
  <c r="Q50" i="10"/>
  <c r="P50" i="10"/>
  <c r="AA49" i="10"/>
  <c r="AA57" i="10" s="1"/>
  <c r="AA81" i="10" s="1"/>
  <c r="Z49" i="10"/>
  <c r="Z57" i="10" s="1"/>
  <c r="Z81" i="10" s="1"/>
  <c r="Y49" i="10"/>
  <c r="Y57" i="10" s="1"/>
  <c r="Y81" i="10" s="1"/>
  <c r="X49" i="10"/>
  <c r="W49" i="10"/>
  <c r="W57" i="10" s="1"/>
  <c r="W81" i="10" s="1"/>
  <c r="V49" i="10"/>
  <c r="V57" i="10" s="1"/>
  <c r="V81" i="10" s="1"/>
  <c r="U49" i="10"/>
  <c r="U57" i="10" s="1"/>
  <c r="U81" i="10" s="1"/>
  <c r="T49" i="10"/>
  <c r="T57" i="10" s="1"/>
  <c r="T81" i="10" s="1"/>
  <c r="S49" i="10"/>
  <c r="S57" i="10" s="1"/>
  <c r="R49" i="10"/>
  <c r="R57" i="10" s="1"/>
  <c r="R81" i="10" s="1"/>
  <c r="Q49" i="10"/>
  <c r="Q57" i="10" s="1"/>
  <c r="Q81" i="10" s="1"/>
  <c r="P49" i="10"/>
  <c r="P57" i="10" s="1"/>
  <c r="P81" i="10" s="1"/>
  <c r="AA34" i="10"/>
  <c r="AA35" i="10" s="1"/>
  <c r="AA44" i="10" s="1"/>
  <c r="Z34" i="10"/>
  <c r="Y34" i="10"/>
  <c r="X34" i="10"/>
  <c r="W34" i="10"/>
  <c r="W35" i="10" s="1"/>
  <c r="W44" i="10" s="1"/>
  <c r="V34" i="10"/>
  <c r="V35" i="10" s="1"/>
  <c r="V44" i="10" s="1"/>
  <c r="U34" i="10"/>
  <c r="U35" i="10" s="1"/>
  <c r="U44" i="10" s="1"/>
  <c r="T34" i="10"/>
  <c r="T35" i="10" s="1"/>
  <c r="T44" i="10" s="1"/>
  <c r="S34" i="10"/>
  <c r="S35" i="10" s="1"/>
  <c r="S44" i="10" s="1"/>
  <c r="R34" i="10"/>
  <c r="R35" i="10" s="1"/>
  <c r="R44" i="10" s="1"/>
  <c r="Q34" i="10"/>
  <c r="Q35" i="10" s="1"/>
  <c r="Q44" i="10" s="1"/>
  <c r="P34" i="10"/>
  <c r="P33" i="10"/>
  <c r="H33" i="10" s="1"/>
  <c r="X57" i="10" l="1"/>
  <c r="X81" i="10" s="1"/>
  <c r="E49" i="10"/>
  <c r="D49" i="10" s="1"/>
  <c r="X35" i="10"/>
  <c r="X44" i="10" s="1"/>
  <c r="E34" i="10"/>
  <c r="D34" i="10" s="1"/>
  <c r="D50" i="10"/>
  <c r="D51" i="10"/>
  <c r="E65" i="10"/>
  <c r="S80" i="10"/>
  <c r="S81" i="10" s="1"/>
  <c r="W24" i="10"/>
  <c r="W26" i="10" s="1"/>
  <c r="W83" i="10" s="1"/>
  <c r="P24" i="10"/>
  <c r="P26" i="10" s="1"/>
  <c r="R24" i="10"/>
  <c r="R26" i="10" s="1"/>
  <c r="R83" i="10" s="1"/>
  <c r="T24" i="10"/>
  <c r="T26" i="10" s="1"/>
  <c r="T83" i="10" s="1"/>
  <c r="V24" i="10"/>
  <c r="V26" i="10" s="1"/>
  <c r="V83" i="10" s="1"/>
  <c r="X24" i="10"/>
  <c r="X26" i="10" s="1"/>
  <c r="X83" i="10" s="1"/>
  <c r="Z24" i="10"/>
  <c r="Z26" i="10" s="1"/>
  <c r="Q24" i="10"/>
  <c r="Q26" i="10" s="1"/>
  <c r="Q83" i="10" s="1"/>
  <c r="S24" i="10"/>
  <c r="S26" i="10" s="1"/>
  <c r="U24" i="10"/>
  <c r="U26" i="10" s="1"/>
  <c r="U83" i="10" s="1"/>
  <c r="Y24" i="10"/>
  <c r="Y26" i="10" s="1"/>
  <c r="AA24" i="10"/>
  <c r="AA26" i="10" s="1"/>
  <c r="AA83" i="10" s="1"/>
  <c r="H42" i="10"/>
  <c r="H43" i="10" s="1"/>
  <c r="G43" i="10" s="1"/>
  <c r="P35" i="10"/>
  <c r="P44" i="10" s="1"/>
  <c r="P83" i="10" s="1"/>
  <c r="H50" i="10"/>
  <c r="H54" i="10"/>
  <c r="H21" i="10"/>
  <c r="G21" i="10" s="1"/>
  <c r="H13" i="10"/>
  <c r="G13" i="10" s="1"/>
  <c r="H22" i="10"/>
  <c r="G22" i="10" s="1"/>
  <c r="G17" i="10"/>
  <c r="H73" i="10"/>
  <c r="H67" i="10"/>
  <c r="G67" i="10" s="1"/>
  <c r="H51" i="10"/>
  <c r="G51" i="10" s="1"/>
  <c r="H20" i="10"/>
  <c r="G20" i="10" s="1"/>
  <c r="H65" i="10"/>
  <c r="H16" i="10"/>
  <c r="G16" i="10" s="1"/>
  <c r="H55" i="10"/>
  <c r="H66" i="10"/>
  <c r="G66" i="10" s="1"/>
  <c r="H34" i="10"/>
  <c r="H70" i="10"/>
  <c r="H49" i="10"/>
  <c r="AB17" i="10"/>
  <c r="AC17" i="10" s="1"/>
  <c r="AB34" i="10"/>
  <c r="AC34" i="10" s="1"/>
  <c r="AB33" i="10"/>
  <c r="AC33" i="10" s="1"/>
  <c r="AB42" i="10"/>
  <c r="AB7" i="10"/>
  <c r="AB30" i="10"/>
  <c r="E35" i="10" l="1"/>
  <c r="D35" i="10" s="1"/>
  <c r="S83" i="10"/>
  <c r="H80" i="10"/>
  <c r="G80" i="10" s="1"/>
  <c r="H57" i="10"/>
  <c r="G57" i="10" s="1"/>
  <c r="D61" i="10"/>
  <c r="E57" i="10"/>
  <c r="D65" i="10"/>
  <c r="E80" i="10"/>
  <c r="D80" i="10" s="1"/>
  <c r="H24" i="10"/>
  <c r="D13" i="10"/>
  <c r="E24" i="10"/>
  <c r="G42" i="10"/>
  <c r="AB43" i="10"/>
  <c r="AC43" i="10" s="1"/>
  <c r="AC42" i="10"/>
  <c r="AC7" i="10"/>
  <c r="AB9" i="10"/>
  <c r="D33" i="10"/>
  <c r="D54" i="10"/>
  <c r="AC30" i="10"/>
  <c r="G34" i="10"/>
  <c r="G49" i="10"/>
  <c r="G33" i="10"/>
  <c r="H35" i="10"/>
  <c r="H44" i="10" s="1"/>
  <c r="E26" i="10" l="1"/>
  <c r="D24" i="10"/>
  <c r="H26" i="10"/>
  <c r="G24" i="10"/>
  <c r="G26" i="10"/>
  <c r="E81" i="10"/>
  <c r="D57" i="10"/>
  <c r="H81" i="10"/>
  <c r="E44" i="10"/>
  <c r="D44" i="10" s="1"/>
  <c r="AC9" i="10"/>
  <c r="D26" i="10"/>
  <c r="G35" i="10"/>
  <c r="G44" i="10"/>
  <c r="G32" i="10"/>
  <c r="G50" i="10"/>
  <c r="E83" i="10" l="1"/>
  <c r="D83" i="10" s="1"/>
  <c r="H83" i="10"/>
  <c r="G83" i="10" s="1"/>
  <c r="D81" i="10"/>
  <c r="G79" i="10"/>
  <c r="G60" i="10"/>
  <c r="G73" i="10"/>
  <c r="G55" i="10"/>
  <c r="G54" i="10"/>
  <c r="G65" i="10" l="1"/>
  <c r="G70" i="10"/>
  <c r="G81" i="10" l="1"/>
  <c r="AB51" i="10" l="1"/>
  <c r="AC51" i="10" s="1"/>
  <c r="AB50" i="10"/>
  <c r="AC50" i="10" s="1"/>
  <c r="AB54" i="10"/>
  <c r="AC60" i="10"/>
  <c r="AB20" i="10"/>
  <c r="AC20" i="10" s="1"/>
  <c r="AB21" i="10"/>
  <c r="AC21" i="10" s="1"/>
  <c r="AB65" i="10"/>
  <c r="AB13" i="10"/>
  <c r="AB16" i="10"/>
  <c r="AC16" i="10" s="1"/>
  <c r="AB22" i="10"/>
  <c r="AC22" i="10" s="1"/>
  <c r="AB55" i="10"/>
  <c r="AC55" i="10" s="1"/>
  <c r="AB76" i="10"/>
  <c r="AC76" i="10" s="1"/>
  <c r="AB73" i="10"/>
  <c r="AC73" i="10" s="1"/>
  <c r="AB67" i="10"/>
  <c r="AC67" i="10" s="1"/>
  <c r="AB66" i="10"/>
  <c r="AC66" i="10" s="1"/>
  <c r="AB70" i="10"/>
  <c r="AC70" i="10" s="1"/>
  <c r="AB49" i="10"/>
  <c r="AC61" i="10" l="1"/>
  <c r="AB57" i="10"/>
  <c r="AC65" i="10"/>
  <c r="AB80" i="10"/>
  <c r="AC80" i="10" s="1"/>
  <c r="AC13" i="10"/>
  <c r="AB24" i="10"/>
  <c r="AC49" i="10"/>
  <c r="AC54" i="10"/>
  <c r="AB81" i="10" l="1"/>
  <c r="AC57" i="10"/>
  <c r="AC24" i="10"/>
  <c r="AB26" i="10"/>
  <c r="B23" i="3"/>
  <c r="AC81" i="10" l="1"/>
  <c r="C38" i="3" l="1"/>
  <c r="H187" i="5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13" i="13"/>
  <c r="D3" i="13" l="1"/>
  <c r="D120" i="13"/>
  <c r="C31" i="9"/>
  <c r="I31" i="9"/>
  <c r="H31" i="9"/>
  <c r="B21" i="3"/>
  <c r="B25" i="3" s="1"/>
  <c r="C28" i="3" s="1"/>
  <c r="C30" i="3" s="1"/>
  <c r="C42" i="3" s="1"/>
  <c r="Y35" i="10" l="1"/>
  <c r="Y44" i="10" s="1"/>
  <c r="Y83" i="10" s="1"/>
  <c r="AB32" i="10"/>
  <c r="AC32" i="10" l="1"/>
  <c r="Z35" i="10" l="1"/>
  <c r="Z44" i="10" s="1"/>
  <c r="Z83" i="10" s="1"/>
  <c r="AB31" i="10"/>
  <c r="AC31" i="10" s="1"/>
  <c r="AB35" i="10" l="1"/>
  <c r="AC35" i="10" s="1"/>
  <c r="AB44" i="10" l="1"/>
  <c r="AC44" i="10" s="1"/>
  <c r="AB83" i="10" l="1"/>
  <c r="AC83" i="10" s="1"/>
</calcChain>
</file>

<file path=xl/comments1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John Phillips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Loss 2016
</t>
        </r>
      </text>
    </comment>
  </commentList>
</comments>
</file>

<file path=xl/comments4.xml><?xml version="1.0" encoding="utf-8"?>
<comments xmlns="http://schemas.openxmlformats.org/spreadsheetml/2006/main">
  <authors>
    <author>Anna Mizerska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Accrued to B800 P6340 YE 31/12/2016
</t>
        </r>
      </text>
    </comment>
  </commentList>
</comments>
</file>

<file path=xl/sharedStrings.xml><?xml version="1.0" encoding="utf-8"?>
<sst xmlns="http://schemas.openxmlformats.org/spreadsheetml/2006/main" count="2770" uniqueCount="1076">
  <si>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</si>
  <si>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</si>
  <si>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</si>
  <si>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</si>
  <si>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</si>
  <si>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</si>
  <si>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</si>
  <si>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</si>
  <si>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</si>
  <si>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</si>
  <si>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</si>
  <si>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</si>
  <si>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</si>
  <si>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</si>
  <si>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</si>
  <si>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</si>
  <si>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</si>
  <si>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</si>
  <si>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</si>
  <si>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</si>
  <si>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</si>
  <si>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</si>
  <si>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</si>
  <si>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</si>
  <si>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</si>
  <si>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</si>
  <si>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</si>
  <si>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</si>
  <si>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</si>
  <si>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</si>
  <si>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</si>
  <si>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</si>
  <si>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</si>
  <si>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</si>
  <si>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</si>
  <si>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</si>
  <si>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</si>
  <si>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</si>
  <si>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</si>
  <si>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</si>
  <si>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</si>
  <si>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</si>
  <si>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</si>
  <si>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</si>
  <si>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</si>
  <si>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</si>
  <si>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</si>
  <si>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</si>
  <si>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</si>
  <si>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</si>
  <si>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</si>
  <si>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</si>
  <si>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</si>
  <si>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</si>
  <si>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</si>
  <si>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</si>
  <si>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</si>
  <si>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</si>
  <si>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</si>
  <si>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</si>
  <si>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</si>
  <si>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</si>
  <si>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</si>
  <si>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</si>
  <si>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</si>
  <si>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</si>
  <si>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</si>
  <si>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</si>
  <si>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</si>
  <si>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</si>
  <si>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</si>
  <si>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</si>
  <si>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</si>
  <si>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</si>
  <si>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</si>
  <si>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</si>
  <si>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</si>
  <si>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</si>
  <si>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</si>
  <si>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</si>
  <si>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</si>
  <si>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</si>
  <si>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</si>
  <si>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</si>
  <si>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</si>
  <si>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</si>
  <si>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</si>
  <si>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</si>
  <si>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</si>
  <si>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</si>
  <si>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</si>
  <si>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</si>
  <si>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</si>
  <si>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</si>
  <si>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</si>
  <si>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</si>
  <si>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</si>
  <si>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</si>
  <si>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</si>
  <si>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</si>
  <si>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</si>
  <si>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</si>
  <si>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</si>
  <si>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</si>
  <si>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</si>
  <si>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</si>
  <si>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</si>
  <si>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</si>
  <si>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</si>
  <si>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</si>
  <si>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</si>
  <si>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</si>
  <si>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</si>
  <si>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</si>
  <si>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</si>
  <si>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</si>
  <si>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</si>
  <si>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</si>
  <si>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</si>
  <si>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</si>
  <si>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</si>
  <si>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</si>
  <si>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</si>
  <si>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</si>
  <si>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</si>
  <si>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</si>
  <si>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</si>
  <si>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</si>
  <si>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</si>
  <si>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</si>
  <si>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</si>
  <si>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</si>
  <si>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</si>
  <si>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</si>
  <si>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</si>
  <si>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</si>
  <si>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</si>
  <si>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</si>
  <si>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</si>
  <si>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</si>
  <si>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</si>
  <si>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</si>
  <si>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</si>
  <si>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</si>
  <si>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</si>
  <si>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</si>
  <si>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</si>
  <si>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</si>
  <si>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</si>
  <si>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</si>
  <si>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</si>
  <si>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</si>
  <si>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</si>
  <si>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</si>
  <si>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</si>
  <si>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</si>
  <si>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</si>
  <si>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</si>
  <si>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</si>
  <si>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</si>
  <si>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</si>
  <si>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</si>
  <si>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</si>
  <si>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</si>
  <si>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</si>
  <si>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</si>
  <si>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</si>
  <si>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</si>
  <si>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</si>
  <si>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</si>
  <si>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</si>
  <si>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</si>
  <si>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</si>
  <si>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</si>
  <si>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</si>
  <si>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</si>
  <si>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</si>
  <si>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</si>
  <si>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</si>
  <si>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</si>
  <si>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</si>
  <si>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</si>
  <si>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</si>
  <si>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</si>
  <si>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</si>
  <si>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</si>
  <si>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</si>
  <si>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</si>
  <si>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</si>
  <si>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</si>
  <si>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</si>
  <si>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</si>
  <si>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</si>
  <si>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</si>
  <si>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</si>
  <si>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</si>
  <si>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</si>
  <si>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</si>
  <si>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</si>
  <si>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</si>
  <si>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</si>
  <si>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</si>
  <si>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</si>
  <si>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</si>
  <si>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</si>
  <si>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</si>
  <si>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</si>
  <si>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</si>
  <si>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</si>
  <si>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</si>
  <si>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</si>
  <si>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</si>
  <si>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</si>
  <si>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</si>
  <si>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</si>
  <si>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</si>
  <si>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</si>
  <si>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</si>
  <si>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</si>
  <si>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</si>
  <si>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</si>
  <si>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</si>
  <si>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</si>
  <si>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</si>
  <si>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</si>
  <si>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</si>
  <si>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</si>
  <si>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</si>
  <si>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</si>
  <si>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</si>
  <si>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</si>
  <si>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</si>
  <si>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</si>
  <si>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</si>
  <si>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</si>
  <si>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</si>
  <si>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</si>
  <si>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</si>
  <si>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</si>
  <si>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</si>
  <si>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</si>
  <si>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</si>
  <si>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</si>
  <si>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</si>
  <si>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</si>
  <si>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</si>
  <si>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</si>
  <si>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</si>
  <si>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</si>
  <si>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</si>
  <si>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</si>
  <si>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</si>
  <si>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</si>
  <si>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</si>
  <si>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</si>
  <si>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</si>
  <si>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</si>
  <si>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</si>
  <si>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</si>
  <si>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</si>
  <si>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</si>
  <si>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</si>
  <si>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</si>
  <si>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</si>
  <si>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</si>
  <si>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</si>
  <si>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</si>
  <si>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</si>
  <si>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</si>
  <si>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</si>
  <si>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</si>
  <si>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</si>
  <si>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</si>
  <si>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</si>
  <si>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</si>
  <si>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</si>
  <si>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</si>
  <si>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</si>
  <si>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</si>
  <si>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</si>
  <si>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</si>
  <si>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</si>
  <si>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</si>
  <si>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</si>
  <si>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</si>
  <si>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</si>
  <si>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</si>
  <si>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</si>
  <si>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</si>
  <si>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</si>
  <si>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</si>
  <si>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</si>
  <si>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</si>
  <si>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</si>
  <si>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</si>
  <si>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</si>
  <si>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</si>
  <si>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</si>
  <si>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</si>
  <si>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</si>
  <si>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</si>
  <si>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</si>
  <si>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</si>
  <si>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</si>
  <si>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</si>
  <si>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</si>
  <si>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</si>
  <si>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</si>
  <si>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</si>
  <si>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</si>
  <si>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</si>
  <si>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</si>
  <si>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</si>
  <si>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</si>
  <si>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</si>
  <si>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</si>
  <si>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</si>
  <si>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</si>
  <si>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</si>
  <si>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</si>
  <si>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</si>
  <si>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</si>
  <si>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</si>
  <si>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</si>
  <si>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</si>
  <si>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</si>
  <si>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</si>
  <si>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</si>
  <si>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</si>
  <si>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</si>
  <si>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</si>
  <si>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</si>
  <si>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</si>
  <si>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</si>
  <si>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</si>
  <si>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</si>
  <si>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</si>
  <si>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</si>
  <si>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</si>
  <si>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</si>
  <si>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</si>
  <si>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</si>
  <si>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</si>
  <si>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</si>
  <si>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</si>
  <si>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</si>
  <si>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</si>
  <si>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</si>
  <si>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</si>
  <si>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</si>
  <si>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</si>
  <si>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</si>
  <si>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</si>
  <si>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</si>
  <si>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</si>
  <si>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</si>
  <si>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</si>
  <si>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</si>
  <si>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</si>
  <si>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</si>
  <si>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</si>
  <si>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</si>
  <si>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</si>
  <si>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</si>
  <si>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</si>
  <si>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</si>
  <si>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</si>
  <si>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</si>
  <si>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</si>
  <si>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</si>
  <si>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</si>
  <si>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</si>
  <si>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</si>
  <si>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</si>
  <si>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</si>
  <si>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</si>
  <si>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</si>
  <si>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</si>
  <si>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</si>
  <si>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</si>
  <si>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</si>
  <si>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</si>
  <si>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</si>
  <si>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</si>
  <si>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</si>
  <si>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</si>
  <si>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</si>
  <si>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</si>
  <si>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</si>
  <si>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</si>
  <si>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</si>
  <si>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</si>
  <si>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</si>
  <si>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</si>
  <si>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</si>
  <si>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</si>
  <si>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</si>
  <si>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</si>
  <si>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</si>
  <si>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</si>
  <si>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</si>
  <si>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</si>
  <si>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</si>
  <si>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</si>
  <si>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</si>
  <si>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</si>
  <si>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</si>
  <si>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</si>
  <si>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</si>
  <si>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</si>
  <si>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</si>
  <si>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</si>
  <si>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</si>
  <si>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</si>
  <si>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</si>
  <si>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</si>
  <si>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</si>
  <si>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</si>
  <si>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</si>
  <si>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</si>
  <si>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</si>
  <si>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</si>
  <si>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</si>
  <si>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</si>
  <si>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</si>
  <si>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</si>
  <si>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</si>
  <si>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</si>
  <si>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</si>
  <si>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</si>
  <si>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</si>
  <si>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</si>
  <si>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</si>
  <si>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</si>
  <si>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</si>
  <si>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</si>
  <si>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</si>
  <si>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</si>
  <si>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</si>
  <si>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</si>
  <si>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</si>
  <si>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</si>
  <si>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</si>
  <si>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</si>
  <si>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</si>
  <si>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</si>
  <si>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</si>
  <si>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</si>
  <si>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</si>
  <si>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</si>
  <si>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</si>
  <si>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</si>
  <si>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</si>
  <si>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</si>
  <si>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</si>
  <si>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</si>
  <si>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</si>
  <si>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</si>
  <si>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</si>
  <si>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</si>
  <si>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</si>
  <si>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</si>
  <si>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</si>
  <si>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</si>
  <si>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</si>
  <si>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</si>
  <si>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</si>
  <si>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</si>
  <si>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</si>
  <si>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</si>
  <si>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</si>
  <si>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</si>
  <si>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</si>
  <si>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</si>
  <si>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</si>
  <si>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</si>
  <si>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</si>
  <si>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</si>
  <si>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</si>
  <si>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</si>
  <si>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</si>
  <si>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</si>
  <si>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</si>
  <si>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</si>
  <si>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</si>
  <si>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</si>
  <si>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</si>
  <si>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</si>
  <si>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</si>
  <si>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</si>
  <si>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</si>
  <si>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</si>
  <si>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</si>
  <si>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</si>
  <si>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</si>
  <si>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</si>
  <si>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</si>
  <si>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</si>
  <si>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</si>
  <si>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</si>
  <si>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</si>
  <si>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</si>
  <si>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</si>
  <si>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</si>
  <si>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</si>
  <si>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</si>
  <si>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</si>
  <si>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</si>
  <si>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</si>
  <si>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</si>
  <si>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</si>
  <si>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</si>
  <si>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</si>
  <si>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</si>
  <si>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</si>
  <si>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</si>
  <si>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</si>
  <si>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</si>
  <si>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</si>
  <si>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</si>
  <si>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</si>
  <si>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</si>
  <si>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</si>
  <si>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</si>
  <si>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</si>
  <si>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</si>
  <si>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</si>
  <si>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</si>
  <si>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</si>
  <si>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</si>
  <si>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</si>
  <si>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</si>
  <si>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</si>
  <si>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</si>
  <si>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</si>
  <si>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</si>
  <si>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</si>
  <si>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</si>
  <si>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</si>
  <si>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</si>
  <si>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</si>
  <si>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</si>
  <si>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</si>
  <si>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</si>
  <si>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</si>
  <si>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</si>
  <si>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</si>
  <si>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</si>
  <si>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</si>
  <si>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</si>
  <si>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</si>
  <si>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</si>
  <si>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</si>
  <si>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</si>
  <si>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</si>
  <si>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</si>
  <si>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</si>
  <si>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</si>
  <si>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</si>
  <si>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</si>
  <si>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</si>
  <si>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</si>
  <si>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</si>
  <si>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</si>
  <si>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</si>
  <si>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</si>
  <si>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</si>
  <si>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</si>
  <si>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</si>
  <si>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</si>
  <si>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</si>
  <si>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</si>
  <si>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</si>
  <si>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</si>
  <si>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</si>
  <si>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</si>
  <si>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</si>
  <si>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</si>
  <si>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</si>
  <si>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</si>
  <si>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</si>
  <si>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</si>
  <si>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</si>
  <si>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</si>
  <si>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</si>
  <si>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</si>
  <si>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</si>
  <si>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</si>
  <si>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</si>
  <si>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</si>
  <si>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</si>
  <si>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</si>
  <si>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</si>
  <si>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</si>
  <si>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</si>
  <si>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</si>
  <si>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</si>
  <si>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</si>
  <si>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</si>
  <si>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</si>
  <si>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</si>
  <si>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</si>
  <si>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</si>
  <si>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</si>
  <si>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</si>
  <si>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</si>
  <si>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</si>
  <si>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</si>
  <si>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</si>
  <si>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</si>
  <si>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</si>
  <si>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</si>
  <si>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</si>
  <si>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</si>
  <si>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</si>
  <si>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</si>
  <si>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</si>
  <si>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</si>
  <si>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</si>
  <si>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</si>
  <si>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</si>
  <si>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</si>
  <si>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</si>
  <si>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</si>
  <si>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</si>
  <si>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</si>
  <si>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</si>
  <si>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</si>
  <si>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</si>
  <si>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</si>
  <si>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</si>
  <si>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</si>
  <si>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</si>
  <si>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</si>
  <si>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</si>
  <si>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</si>
  <si>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</si>
  <si>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</si>
  <si>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</si>
  <si>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</si>
  <si>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</si>
  <si>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</si>
  <si>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</si>
  <si>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</si>
  <si>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</si>
  <si>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</si>
  <si>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</si>
  <si>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</si>
  <si>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</si>
  <si>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</si>
  <si>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</si>
  <si>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</si>
  <si>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</si>
  <si>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</si>
  <si>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</si>
  <si>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</si>
  <si>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</si>
  <si>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</si>
  <si>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</si>
  <si>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</si>
  <si>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</si>
  <si>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</si>
  <si>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</si>
  <si>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</si>
  <si>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</si>
  <si>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</si>
  <si>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</si>
  <si>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</si>
  <si>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</si>
  <si>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</si>
  <si>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</si>
  <si>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</si>
  <si>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</si>
  <si>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</si>
  <si>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</si>
  <si>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</si>
  <si>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</si>
  <si>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</si>
  <si>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</si>
  <si>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</si>
  <si>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</si>
  <si>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</si>
  <si>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</si>
  <si>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</si>
  <si>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</si>
  <si>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</si>
  <si>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</si>
  <si>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</si>
  <si>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</si>
  <si>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</si>
  <si>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</si>
  <si>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</si>
  <si>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</si>
  <si>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</si>
  <si>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</si>
  <si>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</si>
  <si>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</si>
  <si>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</si>
  <si>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</si>
  <si>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</si>
  <si>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</si>
  <si>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</si>
  <si>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</si>
  <si>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</si>
  <si>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</si>
  <si>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</si>
  <si>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</si>
  <si>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</si>
  <si>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</si>
  <si>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</si>
  <si>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</si>
  <si>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</si>
  <si>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</si>
  <si>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</si>
  <si>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</si>
  <si>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</si>
  <si>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</si>
  <si>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</si>
  <si>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</si>
  <si>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</si>
  <si>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</si>
  <si>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</si>
  <si>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</si>
  <si>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</si>
  <si>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</si>
  <si>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</si>
  <si>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</si>
  <si>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</si>
  <si>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</si>
  <si>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</si>
  <si>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</si>
  <si>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</si>
  <si>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</si>
  <si>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</si>
  <si>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</si>
  <si>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</si>
  <si>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</si>
  <si>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</si>
  <si>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</si>
  <si>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</si>
  <si>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</si>
  <si>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</si>
  <si>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</si>
  <si>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</si>
  <si>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</si>
  <si>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</si>
  <si>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</si>
  <si>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</si>
  <si>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</si>
  <si>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</si>
  <si>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</si>
  <si>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</si>
  <si>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</si>
  <si>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</si>
  <si>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</si>
  <si>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</si>
  <si>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</si>
  <si>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</si>
  <si>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</si>
  <si>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</si>
  <si>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</si>
  <si>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</si>
  <si>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</si>
  <si>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</si>
  <si>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</si>
  <si>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</si>
  <si>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</si>
  <si>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</si>
  <si>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</si>
  <si>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</si>
  <si>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</si>
  <si>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</si>
  <si>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</si>
  <si>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</si>
  <si>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</si>
  <si>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</si>
  <si>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</si>
  <si>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</si>
  <si>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</si>
  <si>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</si>
  <si>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</si>
  <si>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</si>
  <si>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</si>
  <si>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</si>
  <si>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</si>
  <si>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</si>
  <si>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</si>
  <si>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</si>
  <si>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</si>
  <si>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</si>
  <si>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</si>
  <si>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</si>
  <si>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</si>
  <si>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</si>
  <si>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</si>
  <si>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</si>
  <si>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</si>
  <si>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</si>
  <si>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</si>
  <si>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</si>
  <si>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</si>
  <si>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</si>
  <si>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</si>
  <si>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</si>
  <si>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</si>
  <si>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</si>
  <si>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</si>
  <si>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</si>
  <si>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</si>
  <si>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</si>
  <si>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</si>
  <si>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</si>
  <si>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</si>
  <si>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</si>
  <si>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</si>
  <si>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</si>
  <si>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</si>
  <si>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</si>
  <si>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</si>
  <si>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</si>
  <si>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</si>
  <si>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</si>
  <si>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</si>
  <si>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</si>
  <si>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</si>
  <si>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</si>
  <si>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</si>
  <si>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</si>
  <si>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</si>
  <si>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</si>
  <si>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</si>
  <si>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</si>
  <si>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</si>
  <si>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</si>
  <si>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</si>
  <si>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</si>
  <si>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</si>
  <si>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</si>
  <si>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</si>
  <si>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</si>
  <si>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</si>
  <si>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</si>
  <si>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</si>
  <si>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</si>
  <si>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</si>
  <si>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</si>
  <si>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</si>
  <si>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</si>
  <si>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</si>
  <si>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</si>
  <si>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</si>
  <si>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</si>
  <si>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</si>
  <si>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</si>
  <si>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</si>
  <si>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</si>
  <si>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</si>
  <si>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</si>
  <si>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</si>
  <si>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</si>
  <si>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</si>
  <si>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</si>
  <si>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</si>
  <si>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</si>
  <si>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</si>
  <si>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</si>
  <si>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</si>
  <si>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</si>
  <si>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</si>
  <si>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</si>
  <si>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</si>
  <si>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</si>
  <si>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</si>
  <si>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</si>
  <si>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</si>
  <si>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</si>
  <si>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</si>
  <si>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</si>
  <si>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</si>
  <si>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</si>
  <si>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</si>
  <si>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</si>
  <si>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</si>
  <si>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</si>
  <si>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</si>
  <si>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</si>
  <si>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</si>
  <si>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</si>
  <si>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</si>
  <si>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</si>
  <si>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</si>
  <si>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</si>
  <si>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</si>
  <si>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</si>
  <si>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</si>
  <si>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</si>
  <si>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</si>
  <si>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</si>
  <si>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</si>
  <si>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</si>
  <si>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</si>
  <si>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</si>
  <si>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</si>
  <si>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</si>
  <si>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</si>
  <si>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</si>
  <si>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</si>
  <si>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</si>
  <si>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</si>
  <si>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</si>
  <si>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</si>
  <si>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</si>
  <si>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</si>
  <si>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</si>
  <si>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</si>
  <si>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</si>
  <si>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</si>
  <si>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</si>
  <si>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</si>
  <si>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</si>
  <si>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</si>
  <si>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</si>
  <si>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</si>
  <si>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</si>
  <si>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</si>
  <si>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</si>
  <si>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</si>
  <si>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</si>
  <si>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</si>
  <si>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</si>
  <si>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</si>
  <si>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</si>
  <si>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</si>
  <si>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</si>
  <si>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</si>
  <si>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</si>
  <si>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</si>
  <si>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</si>
  <si>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</si>
  <si>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</si>
  <si>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</si>
  <si>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</si>
  <si>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</si>
  <si>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</si>
  <si>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</si>
  <si>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</si>
  <si>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</si>
  <si>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</si>
  <si>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</si>
  <si>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</si>
  <si>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</si>
  <si>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</si>
  <si>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</si>
  <si>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</si>
  <si>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</si>
  <si>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</si>
  <si>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</si>
  <si>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</si>
  <si>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</si>
  <si>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</si>
  <si>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</si>
  <si>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</si>
  <si>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</si>
  <si>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</si>
  <si>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</si>
  <si>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</si>
  <si>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</si>
  <si>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</si>
  <si>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</si>
  <si>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</si>
  <si>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</si>
  <si>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</si>
  <si>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</si>
  <si>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</si>
  <si>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</si>
  <si>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</si>
  <si>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</si>
  <si>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</si>
  <si>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</si>
  <si>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</si>
  <si>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</si>
  <si>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</si>
  <si>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</si>
  <si>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</si>
  <si>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</si>
  <si>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</si>
  <si>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</si>
  <si>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</si>
  <si>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</si>
  <si>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</si>
  <si>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</si>
  <si>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</si>
  <si>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</si>
  <si>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PTRC</t>
  </si>
  <si>
    <t>Phased Budget</t>
  </si>
  <si>
    <t>Check Sums</t>
  </si>
  <si>
    <t>TB w/ADJUSTMENTS</t>
  </si>
  <si>
    <t>B312</t>
  </si>
  <si>
    <t>Unidentified cash</t>
  </si>
  <si>
    <t>Full Year 2017</t>
  </si>
  <si>
    <t>B222</t>
  </si>
  <si>
    <t>Accrued Income</t>
  </si>
  <si>
    <t>I4600</t>
  </si>
  <si>
    <t>Africa Forum</t>
  </si>
  <si>
    <t>P7100</t>
  </si>
  <si>
    <t>P7007</t>
  </si>
  <si>
    <t>Convention - Prior Year</t>
  </si>
  <si>
    <t>Acrued Income</t>
  </si>
  <si>
    <t>Actual 
2017</t>
  </si>
  <si>
    <t>Budget
2017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</si>
  <si>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</si>
  <si>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</si>
  <si>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</si>
  <si>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</si>
  <si>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</si>
  <si>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</si>
  <si>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</si>
  <si>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</si>
  <si>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</si>
  <si>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</si>
  <si>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</si>
  <si>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</si>
  <si>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</si>
  <si>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</si>
  <si>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</si>
  <si>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</si>
  <si>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</si>
  <si>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</si>
  <si>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</si>
  <si>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</si>
  <si>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</si>
  <si>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Month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</si>
  <si>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</si>
  <si>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</si>
  <si>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</si>
  <si>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</si>
  <si>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</si>
  <si>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</si>
  <si>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</si>
  <si>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</si>
  <si>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</si>
  <si>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</si>
  <si>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</si>
  <si>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</si>
  <si>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</si>
  <si>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</si>
  <si>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</si>
  <si>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</si>
  <si>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</si>
  <si>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</si>
  <si>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</si>
  <si>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</si>
  <si>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</si>
  <si>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</si>
  <si>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</si>
  <si>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</si>
  <si>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</si>
  <si>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</si>
  <si>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</si>
  <si>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</si>
  <si>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</si>
  <si>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</si>
  <si>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</si>
  <si>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</si>
  <si>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</si>
  <si>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</si>
  <si>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</si>
  <si>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</si>
  <si>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</si>
  <si>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</si>
  <si>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</si>
  <si>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</si>
  <si>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</si>
  <si>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</si>
  <si>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October</t>
  </si>
  <si>
    <t>Variance Forecast to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</si>
</sst>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_(\ #,##0.00_);\(* #,##0.00\);\ &quot;-&quot;_);_-@_-"/>
    <numFmt numFmtId="171" formatCode="mmmm\ yyyy"/>
    <numFmt numFmtId="172" formatCode="&quot;£&quot;#,##0.00;\(&quot;£&quot;#,##0.00\)"/>
    <numFmt numFmtId="173" formatCode="\ #,##0_);[Red]\(* #,##0\);\ &quot;-&quot;_);_-@_-"/>
    <numFmt numFmtId="174" formatCode="#,##0.00;[Red]\(#,##0.00\)"/>
    <numFmt numFmtId="175" formatCode="#,##0.00000"/>
    <numFmt numFmtId="176" formatCode="&quot;£&quot;#,##0;[Red]\(&quot;£&quot;#,##0\)"/>
    <numFmt numFmtId="177" formatCode="#,##0.00;\(#,##0.00\)"/>
  </numFmts>
  <fonts count="2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352">
    <xf numFmtId="0" fontId="0" fillId="0" borderId="0"/>
    <xf numFmtId="0" fontId="163" fillId="6" borderId="0" applyNumberFormat="0" applyBorder="0" applyAlignment="0" applyProtection="0"/>
    <xf numFmtId="0" fontId="163" fillId="6" borderId="0" applyNumberFormat="0" applyBorder="0" applyAlignment="0" applyProtection="0"/>
    <xf numFmtId="0" fontId="163" fillId="7" borderId="0" applyNumberFormat="0" applyBorder="0" applyAlignment="0" applyProtection="0"/>
    <xf numFmtId="0" fontId="163" fillId="7" borderId="0" applyNumberFormat="0" applyBorder="0" applyAlignment="0" applyProtection="0"/>
    <xf numFmtId="0" fontId="163" fillId="8" borderId="0" applyNumberFormat="0" applyBorder="0" applyAlignment="0" applyProtection="0"/>
    <xf numFmtId="0" fontId="163" fillId="8" borderId="0" applyNumberFormat="0" applyBorder="0" applyAlignment="0" applyProtection="0"/>
    <xf numFmtId="0" fontId="163" fillId="9" borderId="0" applyNumberFormat="0" applyBorder="0" applyAlignment="0" applyProtection="0"/>
    <xf numFmtId="0" fontId="163" fillId="9" borderId="0" applyNumberFormat="0" applyBorder="0" applyAlignment="0" applyProtection="0"/>
    <xf numFmtId="0" fontId="163" fillId="10" borderId="0" applyNumberFormat="0" applyBorder="0" applyAlignment="0" applyProtection="0"/>
    <xf numFmtId="0" fontId="163" fillId="10" borderId="0" applyNumberFormat="0" applyBorder="0" applyAlignment="0" applyProtection="0"/>
    <xf numFmtId="0" fontId="163" fillId="11" borderId="0" applyNumberFormat="0" applyBorder="0" applyAlignment="0" applyProtection="0"/>
    <xf numFmtId="0" fontId="163" fillId="11" borderId="0" applyNumberFormat="0" applyBorder="0" applyAlignment="0" applyProtection="0"/>
    <xf numFmtId="0" fontId="163" fillId="12" borderId="0" applyNumberFormat="0" applyBorder="0" applyAlignment="0" applyProtection="0"/>
    <xf numFmtId="0" fontId="163" fillId="12" borderId="0" applyNumberFormat="0" applyBorder="0" applyAlignment="0" applyProtection="0"/>
    <xf numFmtId="0" fontId="163" fillId="13" borderId="0" applyNumberFormat="0" applyBorder="0" applyAlignment="0" applyProtection="0"/>
    <xf numFmtId="0" fontId="163" fillId="13" borderId="0" applyNumberFormat="0" applyBorder="0" applyAlignment="0" applyProtection="0"/>
    <xf numFmtId="0" fontId="163" fillId="14" borderId="0" applyNumberFormat="0" applyBorder="0" applyAlignment="0" applyProtection="0"/>
    <xf numFmtId="0" fontId="163" fillId="14" borderId="0" applyNumberFormat="0" applyBorder="0" applyAlignment="0" applyProtection="0"/>
    <xf numFmtId="0" fontId="163" fillId="15" borderId="0" applyNumberFormat="0" applyBorder="0" applyAlignment="0" applyProtection="0"/>
    <xf numFmtId="0" fontId="163" fillId="15" borderId="0" applyNumberFormat="0" applyBorder="0" applyAlignment="0" applyProtection="0"/>
    <xf numFmtId="0" fontId="163" fillId="16" borderId="0" applyNumberFormat="0" applyBorder="0" applyAlignment="0" applyProtection="0"/>
    <xf numFmtId="0" fontId="163" fillId="16" borderId="0" applyNumberFormat="0" applyBorder="0" applyAlignment="0" applyProtection="0"/>
    <xf numFmtId="0" fontId="163" fillId="17" borderId="0" applyNumberFormat="0" applyBorder="0" applyAlignment="0" applyProtection="0"/>
    <xf numFmtId="0" fontId="163" fillId="17" borderId="0" applyNumberFormat="0" applyBorder="0" applyAlignment="0" applyProtection="0"/>
    <xf numFmtId="0" fontId="164" fillId="18" borderId="0" applyNumberFormat="0" applyBorder="0" applyAlignment="0" applyProtection="0"/>
    <xf numFmtId="0" fontId="164" fillId="19" borderId="0" applyNumberFormat="0" applyBorder="0" applyAlignment="0" applyProtection="0"/>
    <xf numFmtId="0" fontId="164" fillId="20" borderId="0" applyNumberFormat="0" applyBorder="0" applyAlignment="0" applyProtection="0"/>
    <xf numFmtId="0" fontId="164" fillId="21" borderId="0" applyNumberFormat="0" applyBorder="0" applyAlignment="0" applyProtection="0"/>
    <xf numFmtId="0" fontId="164" fillId="22" borderId="0" applyNumberFormat="0" applyBorder="0" applyAlignment="0" applyProtection="0"/>
    <xf numFmtId="0" fontId="164" fillId="23" borderId="0" applyNumberFormat="0" applyBorder="0" applyAlignment="0" applyProtection="0"/>
    <xf numFmtId="0" fontId="164" fillId="24" borderId="0" applyNumberFormat="0" applyBorder="0" applyAlignment="0" applyProtection="0"/>
    <xf numFmtId="0" fontId="164" fillId="25" borderId="0" applyNumberFormat="0" applyBorder="0" applyAlignment="0" applyProtection="0"/>
    <xf numFmtId="0" fontId="164" fillId="26" borderId="0" applyNumberFormat="0" applyBorder="0" applyAlignment="0" applyProtection="0"/>
    <xf numFmtId="0" fontId="164" fillId="27" borderId="0" applyNumberFormat="0" applyBorder="0" applyAlignment="0" applyProtection="0"/>
    <xf numFmtId="0" fontId="164" fillId="28" borderId="0" applyNumberFormat="0" applyBorder="0" applyAlignment="0" applyProtection="0"/>
    <xf numFmtId="0" fontId="164" fillId="29" borderId="0" applyNumberFormat="0" applyBorder="0" applyAlignment="0" applyProtection="0"/>
    <xf numFmtId="0" fontId="165" fillId="30" borderId="0" applyNumberFormat="0" applyBorder="0" applyAlignment="0" applyProtection="0"/>
    <xf numFmtId="0" fontId="166" fillId="31" borderId="16" applyNumberFormat="0" applyAlignment="0" applyProtection="0"/>
    <xf numFmtId="0" fontId="167" fillId="32" borderId="17" applyNumberFormat="0" applyAlignment="0" applyProtection="0"/>
    <xf numFmtId="0" fontId="168" fillId="0" borderId="0" applyNumberFormat="0" applyFill="0" applyBorder="0" applyAlignment="0" applyProtection="0"/>
    <xf numFmtId="0" fontId="169" fillId="33" borderId="0" applyNumberFormat="0" applyBorder="0" applyAlignment="0" applyProtection="0"/>
    <xf numFmtId="0" fontId="170" fillId="0" borderId="18" applyNumberFormat="0" applyFill="0" applyAlignment="0" applyProtection="0"/>
    <xf numFmtId="0" fontId="171" fillId="0" borderId="19" applyNumberFormat="0" applyFill="0" applyAlignment="0" applyProtection="0"/>
    <xf numFmtId="0" fontId="172" fillId="0" borderId="20" applyNumberFormat="0" applyFill="0" applyAlignment="0" applyProtection="0"/>
    <xf numFmtId="0" fontId="172" fillId="0" borderId="0" applyNumberFormat="0" applyFill="0" applyBorder="0" applyAlignment="0" applyProtection="0"/>
    <xf numFmtId="0" fontId="173" fillId="34" borderId="16" applyNumberFormat="0" applyAlignment="0" applyProtection="0"/>
    <xf numFmtId="0" fontId="174" fillId="0" borderId="21" applyNumberFormat="0" applyFill="0" applyAlignment="0" applyProtection="0"/>
    <xf numFmtId="0" fontId="175" fillId="35" borderId="0" applyNumberFormat="0" applyBorder="0" applyAlignment="0" applyProtection="0"/>
    <xf numFmtId="0" fontId="162" fillId="0" borderId="0"/>
    <xf numFmtId="0" fontId="163" fillId="36" borderId="22" applyNumberFormat="0" applyFont="0" applyAlignment="0" applyProtection="0"/>
    <xf numFmtId="0" fontId="163" fillId="36" borderId="22" applyNumberFormat="0" applyFont="0" applyAlignment="0" applyProtection="0"/>
    <xf numFmtId="0" fontId="176" fillId="31" borderId="23" applyNumberFormat="0" applyAlignment="0" applyProtection="0"/>
    <xf numFmtId="0" fontId="177" fillId="0" borderId="0" applyNumberFormat="0" applyFill="0" applyBorder="0" applyAlignment="0" applyProtection="0"/>
    <xf numFmtId="0" fontId="178" fillId="0" borderId="24" applyNumberFormat="0" applyFill="0" applyAlignment="0" applyProtection="0"/>
    <xf numFmtId="0" fontId="179" fillId="0" borderId="0" applyNumberFormat="0" applyFill="0" applyBorder="0" applyAlignment="0" applyProtection="0"/>
    <xf numFmtId="0" fontId="170" fillId="0" borderId="18" applyNumberFormat="0" applyFill="0" applyAlignment="0" applyProtection="0"/>
    <xf numFmtId="0" fontId="171" fillId="0" borderId="19" applyNumberFormat="0" applyFill="0" applyAlignment="0" applyProtection="0"/>
    <xf numFmtId="0" fontId="172" fillId="0" borderId="20" applyNumberFormat="0" applyFill="0" applyAlignment="0" applyProtection="0"/>
    <xf numFmtId="0" fontId="172" fillId="0" borderId="0" applyNumberFormat="0" applyFill="0" applyBorder="0" applyAlignment="0" applyProtection="0"/>
    <xf numFmtId="0" fontId="169" fillId="33" borderId="0" applyNumberFormat="0" applyBorder="0" applyAlignment="0" applyProtection="0"/>
    <xf numFmtId="0" fontId="165" fillId="30" borderId="0" applyNumberFormat="0" applyBorder="0" applyAlignment="0" applyProtection="0"/>
    <xf numFmtId="0" fontId="175" fillId="35" borderId="0" applyNumberFormat="0" applyBorder="0" applyAlignment="0" applyProtection="0"/>
    <xf numFmtId="0" fontId="173" fillId="34" borderId="16" applyNumberFormat="0" applyAlignment="0" applyProtection="0"/>
    <xf numFmtId="0" fontId="176" fillId="31" borderId="23" applyNumberFormat="0" applyAlignment="0" applyProtection="0"/>
    <xf numFmtId="0" fontId="166" fillId="31" borderId="16" applyNumberFormat="0" applyAlignment="0" applyProtection="0"/>
    <xf numFmtId="0" fontId="174" fillId="0" borderId="21" applyNumberFormat="0" applyFill="0" applyAlignment="0" applyProtection="0"/>
    <xf numFmtId="0" fontId="167" fillId="32" borderId="17" applyNumberFormat="0" applyAlignment="0" applyProtection="0"/>
    <xf numFmtId="0" fontId="17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8" fillId="0" borderId="24" applyNumberFormat="0" applyFill="0" applyAlignment="0" applyProtection="0"/>
    <xf numFmtId="0" fontId="164" fillId="24" borderId="0" applyNumberFormat="0" applyBorder="0" applyAlignment="0" applyProtection="0"/>
    <xf numFmtId="0" fontId="150" fillId="6" borderId="0" applyNumberFormat="0" applyBorder="0" applyAlignment="0" applyProtection="0"/>
    <xf numFmtId="0" fontId="150" fillId="12" borderId="0" applyNumberFormat="0" applyBorder="0" applyAlignment="0" applyProtection="0"/>
    <xf numFmtId="0" fontId="164" fillId="18" borderId="0" applyNumberFormat="0" applyBorder="0" applyAlignment="0" applyProtection="0"/>
    <xf numFmtId="0" fontId="164" fillId="25" borderId="0" applyNumberFormat="0" applyBorder="0" applyAlignment="0" applyProtection="0"/>
    <xf numFmtId="0" fontId="150" fillId="7" borderId="0" applyNumberFormat="0" applyBorder="0" applyAlignment="0" applyProtection="0"/>
    <xf numFmtId="0" fontId="150" fillId="13" borderId="0" applyNumberFormat="0" applyBorder="0" applyAlignment="0" applyProtection="0"/>
    <xf numFmtId="0" fontId="164" fillId="19" borderId="0" applyNumberFormat="0" applyBorder="0" applyAlignment="0" applyProtection="0"/>
    <xf numFmtId="0" fontId="164" fillId="26" borderId="0" applyNumberFormat="0" applyBorder="0" applyAlignment="0" applyProtection="0"/>
    <xf numFmtId="0" fontId="150" fillId="8" borderId="0" applyNumberFormat="0" applyBorder="0" applyAlignment="0" applyProtection="0"/>
    <xf numFmtId="0" fontId="150" fillId="14" borderId="0" applyNumberFormat="0" applyBorder="0" applyAlignment="0" applyProtection="0"/>
    <xf numFmtId="0" fontId="164" fillId="20" borderId="0" applyNumberFormat="0" applyBorder="0" applyAlignment="0" applyProtection="0"/>
    <xf numFmtId="0" fontId="164" fillId="27" borderId="0" applyNumberFormat="0" applyBorder="0" applyAlignment="0" applyProtection="0"/>
    <xf numFmtId="0" fontId="150" fillId="9" borderId="0" applyNumberFormat="0" applyBorder="0" applyAlignment="0" applyProtection="0"/>
    <xf numFmtId="0" fontId="150" fillId="15" borderId="0" applyNumberFormat="0" applyBorder="0" applyAlignment="0" applyProtection="0"/>
    <xf numFmtId="0" fontId="164" fillId="21" borderId="0" applyNumberFormat="0" applyBorder="0" applyAlignment="0" applyProtection="0"/>
    <xf numFmtId="0" fontId="164" fillId="28" borderId="0" applyNumberFormat="0" applyBorder="0" applyAlignment="0" applyProtection="0"/>
    <xf numFmtId="0" fontId="150" fillId="10" borderId="0" applyNumberFormat="0" applyBorder="0" applyAlignment="0" applyProtection="0"/>
    <xf numFmtId="0" fontId="150" fillId="16" borderId="0" applyNumberFormat="0" applyBorder="0" applyAlignment="0" applyProtection="0"/>
    <xf numFmtId="0" fontId="164" fillId="22" borderId="0" applyNumberFormat="0" applyBorder="0" applyAlignment="0" applyProtection="0"/>
    <xf numFmtId="0" fontId="164" fillId="29" borderId="0" applyNumberFormat="0" applyBorder="0" applyAlignment="0" applyProtection="0"/>
    <xf numFmtId="0" fontId="150" fillId="11" borderId="0" applyNumberFormat="0" applyBorder="0" applyAlignment="0" applyProtection="0"/>
    <xf numFmtId="0" fontId="150" fillId="17" borderId="0" applyNumberFormat="0" applyBorder="0" applyAlignment="0" applyProtection="0"/>
    <xf numFmtId="0" fontId="164" fillId="23" borderId="0" applyNumberFormat="0" applyBorder="0" applyAlignment="0" applyProtection="0"/>
    <xf numFmtId="0" fontId="153" fillId="0" borderId="0"/>
    <xf numFmtId="0" fontId="150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7" borderId="0" applyNumberFormat="0" applyBorder="0" applyAlignment="0" applyProtection="0"/>
    <xf numFmtId="0" fontId="149" fillId="8" borderId="0" applyNumberFormat="0" applyBorder="0" applyAlignment="0" applyProtection="0"/>
    <xf numFmtId="0" fontId="149" fillId="9" borderId="0" applyNumberFormat="0" applyBorder="0" applyAlignment="0" applyProtection="0"/>
    <xf numFmtId="0" fontId="149" fillId="10" borderId="0" applyNumberFormat="0" applyBorder="0" applyAlignment="0" applyProtection="0"/>
    <xf numFmtId="0" fontId="149" fillId="11" borderId="0" applyNumberFormat="0" applyBorder="0" applyAlignment="0" applyProtection="0"/>
    <xf numFmtId="0" fontId="149" fillId="12" borderId="0" applyNumberFormat="0" applyBorder="0" applyAlignment="0" applyProtection="0"/>
    <xf numFmtId="0" fontId="149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80" fillId="0" borderId="0"/>
    <xf numFmtId="0" fontId="149" fillId="36" borderId="22" applyNumberFormat="0" applyFont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36" borderId="22" applyNumberFormat="0" applyFont="0" applyAlignment="0" applyProtection="0"/>
    <xf numFmtId="0" fontId="147" fillId="6" borderId="0" applyNumberFormat="0" applyBorder="0" applyAlignment="0" applyProtection="0"/>
    <xf numFmtId="0" fontId="147" fillId="12" borderId="0" applyNumberFormat="0" applyBorder="0" applyAlignment="0" applyProtection="0"/>
    <xf numFmtId="0" fontId="147" fillId="7" borderId="0" applyNumberFormat="0" applyBorder="0" applyAlignment="0" applyProtection="0"/>
    <xf numFmtId="0" fontId="147" fillId="13" borderId="0" applyNumberFormat="0" applyBorder="0" applyAlignment="0" applyProtection="0"/>
    <xf numFmtId="0" fontId="147" fillId="8" borderId="0" applyNumberFormat="0" applyBorder="0" applyAlignment="0" applyProtection="0"/>
    <xf numFmtId="0" fontId="147" fillId="14" borderId="0" applyNumberFormat="0" applyBorder="0" applyAlignment="0" applyProtection="0"/>
    <xf numFmtId="0" fontId="147" fillId="9" borderId="0" applyNumberFormat="0" applyBorder="0" applyAlignment="0" applyProtection="0"/>
    <xf numFmtId="0" fontId="147" fillId="15" borderId="0" applyNumberFormat="0" applyBorder="0" applyAlignment="0" applyProtection="0"/>
    <xf numFmtId="0" fontId="147" fillId="10" borderId="0" applyNumberFormat="0" applyBorder="0" applyAlignment="0" applyProtection="0"/>
    <xf numFmtId="0" fontId="147" fillId="16" borderId="0" applyNumberFormat="0" applyBorder="0" applyAlignment="0" applyProtection="0"/>
    <xf numFmtId="0" fontId="147" fillId="11" borderId="0" applyNumberFormat="0" applyBorder="0" applyAlignment="0" applyProtection="0"/>
    <xf numFmtId="0" fontId="147" fillId="17" borderId="0" applyNumberFormat="0" applyBorder="0" applyAlignment="0" applyProtection="0"/>
    <xf numFmtId="0" fontId="147" fillId="36" borderId="22" applyNumberFormat="0" applyFont="0" applyAlignment="0" applyProtection="0"/>
    <xf numFmtId="0" fontId="147" fillId="6" borderId="0" applyNumberFormat="0" applyBorder="0" applyAlignment="0" applyProtection="0"/>
    <xf numFmtId="0" fontId="147" fillId="12" borderId="0" applyNumberFormat="0" applyBorder="0" applyAlignment="0" applyProtection="0"/>
    <xf numFmtId="0" fontId="147" fillId="7" borderId="0" applyNumberFormat="0" applyBorder="0" applyAlignment="0" applyProtection="0"/>
    <xf numFmtId="0" fontId="147" fillId="13" borderId="0" applyNumberFormat="0" applyBorder="0" applyAlignment="0" applyProtection="0"/>
    <xf numFmtId="0" fontId="147" fillId="8" borderId="0" applyNumberFormat="0" applyBorder="0" applyAlignment="0" applyProtection="0"/>
    <xf numFmtId="0" fontId="147" fillId="14" borderId="0" applyNumberFormat="0" applyBorder="0" applyAlignment="0" applyProtection="0"/>
    <xf numFmtId="0" fontId="147" fillId="9" borderId="0" applyNumberFormat="0" applyBorder="0" applyAlignment="0" applyProtection="0"/>
    <xf numFmtId="0" fontId="147" fillId="15" borderId="0" applyNumberFormat="0" applyBorder="0" applyAlignment="0" applyProtection="0"/>
    <xf numFmtId="0" fontId="147" fillId="10" borderId="0" applyNumberFormat="0" applyBorder="0" applyAlignment="0" applyProtection="0"/>
    <xf numFmtId="0" fontId="147" fillId="16" borderId="0" applyNumberFormat="0" applyBorder="0" applyAlignment="0" applyProtection="0"/>
    <xf numFmtId="0" fontId="147" fillId="11" borderId="0" applyNumberFormat="0" applyBorder="0" applyAlignment="0" applyProtection="0"/>
    <xf numFmtId="0" fontId="147" fillId="17" borderId="0" applyNumberFormat="0" applyBorder="0" applyAlignment="0" applyProtection="0"/>
    <xf numFmtId="0" fontId="146" fillId="0" borderId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36" borderId="22" applyNumberFormat="0" applyFont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0" borderId="0"/>
    <xf numFmtId="0" fontId="181" fillId="0" borderId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82" fillId="0" borderId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53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82" fillId="0" borderId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6" fillId="36" borderId="22" applyNumberFormat="0" applyFont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43" fontId="183" fillId="0" borderId="0" applyFont="0" applyFill="0" applyBorder="0" applyAlignment="0" applyProtection="0"/>
    <xf numFmtId="0" fontId="35" fillId="0" borderId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146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53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6" borderId="22" applyNumberFormat="0" applyFont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0" borderId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181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181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36" borderId="22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1" fillId="0" borderId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1" fillId="36" borderId="22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</cellStyleXfs>
  <cellXfs count="409">
    <xf numFmtId="0" fontId="0" fillId="0" borderId="0" xfId="0"/>
    <xf numFmtId="164" fontId="0" fillId="0" borderId="0" xfId="0" applyNumberFormat="1"/>
    <xf numFmtId="0" fontId="152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3" fillId="0" borderId="0" xfId="0" applyFont="1" applyFill="1"/>
    <xf numFmtId="164" fontId="151" fillId="0" borderId="0" xfId="0" applyNumberFormat="1" applyFont="1" applyFill="1"/>
    <xf numFmtId="0" fontId="0" fillId="0" borderId="0" xfId="0" applyFill="1" applyAlignment="1">
      <alignment wrapText="1"/>
    </xf>
    <xf numFmtId="164" fontId="151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1" fillId="0" borderId="0" xfId="0" applyNumberFormat="1" applyFont="1"/>
    <xf numFmtId="0" fontId="151" fillId="0" borderId="0" xfId="0" applyFont="1" applyAlignment="1"/>
    <xf numFmtId="0" fontId="151" fillId="0" borderId="0" xfId="0" applyFont="1"/>
    <xf numFmtId="166" fontId="151" fillId="0" borderId="2" xfId="0" applyNumberFormat="1" applyFont="1" applyFill="1" applyBorder="1" applyAlignment="1">
      <alignment horizontal="center" wrapText="1"/>
    </xf>
    <xf numFmtId="0" fontId="152" fillId="0" borderId="1" xfId="0" applyFont="1" applyBorder="1"/>
    <xf numFmtId="164" fontId="153" fillId="0" borderId="1" xfId="0" applyNumberFormat="1" applyFont="1" applyFill="1" applyBorder="1"/>
    <xf numFmtId="164" fontId="152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4" fillId="2" borderId="0" xfId="0" applyNumberFormat="1" applyFont="1" applyFill="1" applyBorder="1"/>
    <xf numFmtId="164" fontId="154" fillId="2" borderId="0" xfId="0" applyNumberFormat="1" applyFont="1" applyFill="1" applyBorder="1" applyAlignment="1">
      <alignment horizontal="center"/>
    </xf>
    <xf numFmtId="0" fontId="156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4" fillId="2" borderId="0" xfId="0" applyFont="1" applyFill="1"/>
    <xf numFmtId="164" fontId="154" fillId="2" borderId="1" xfId="0" applyNumberFormat="1" applyFont="1" applyFill="1" applyBorder="1"/>
    <xf numFmtId="164" fontId="154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1" fillId="0" borderId="0" xfId="0" applyNumberFormat="1" applyFont="1" applyFill="1"/>
    <xf numFmtId="0" fontId="151" fillId="3" borderId="0" xfId="0" applyFont="1" applyFill="1"/>
    <xf numFmtId="0" fontId="151" fillId="3" borderId="0" xfId="0" applyNumberFormat="1" applyFont="1" applyFill="1"/>
    <xf numFmtId="164" fontId="151" fillId="3" borderId="0" xfId="0" applyNumberFormat="1" applyFont="1" applyFill="1"/>
    <xf numFmtId="164" fontId="151" fillId="3" borderId="1" xfId="0" applyNumberFormat="1" applyFont="1" applyFill="1" applyBorder="1"/>
    <xf numFmtId="0" fontId="151" fillId="3" borderId="0" xfId="0" applyFont="1" applyFill="1" applyAlignment="1">
      <alignment wrapText="1"/>
    </xf>
    <xf numFmtId="164" fontId="151" fillId="3" borderId="0" xfId="0" applyNumberFormat="1" applyFont="1" applyFill="1" applyBorder="1"/>
    <xf numFmtId="167" fontId="151" fillId="3" borderId="0" xfId="0" applyNumberFormat="1" applyFont="1" applyFill="1"/>
    <xf numFmtId="0" fontId="157" fillId="0" borderId="0" xfId="0" applyFont="1" applyAlignment="1">
      <alignment vertical="top" wrapText="1"/>
    </xf>
    <xf numFmtId="0" fontId="153" fillId="0" borderId="0" xfId="0" applyFont="1" applyAlignment="1">
      <alignment vertical="top" wrapText="1"/>
    </xf>
    <xf numFmtId="0" fontId="151" fillId="0" borderId="0" xfId="0" applyFont="1" applyAlignment="1">
      <alignment vertical="top" wrapText="1"/>
    </xf>
    <xf numFmtId="0" fontId="158" fillId="0" borderId="0" xfId="0" applyFont="1" applyAlignment="1">
      <alignment vertical="top" wrapText="1"/>
    </xf>
    <xf numFmtId="0" fontId="151" fillId="0" borderId="4" xfId="0" applyFont="1" applyBorder="1" applyAlignment="1">
      <alignment vertical="top" wrapText="1"/>
    </xf>
    <xf numFmtId="0" fontId="157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1" fillId="4" borderId="10" xfId="0" applyNumberFormat="1" applyFont="1" applyFill="1" applyBorder="1"/>
    <xf numFmtId="164" fontId="151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59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1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1" fillId="4" borderId="0" xfId="0" applyNumberFormat="1" applyFont="1" applyFill="1"/>
    <xf numFmtId="0" fontId="0" fillId="0" borderId="0" xfId="0" applyBorder="1" applyAlignment="1">
      <alignment vertical="top"/>
    </xf>
    <xf numFmtId="164" fontId="153" fillId="0" borderId="0" xfId="0" applyNumberFormat="1" applyFont="1" applyFill="1" applyBorder="1"/>
    <xf numFmtId="0" fontId="151" fillId="0" borderId="0" xfId="0" applyFont="1" applyFill="1"/>
    <xf numFmtId="0" fontId="153" fillId="0" borderId="0" xfId="0" applyNumberFormat="1" applyFont="1" applyFill="1"/>
    <xf numFmtId="0" fontId="153" fillId="0" borderId="0" xfId="0" applyFont="1" applyFill="1" applyAlignment="1">
      <alignment wrapText="1"/>
    </xf>
    <xf numFmtId="0" fontId="153" fillId="0" borderId="0" xfId="0" applyFont="1"/>
    <xf numFmtId="164" fontId="151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1" fillId="4" borderId="13" xfId="0" applyNumberFormat="1" applyFont="1" applyFill="1" applyBorder="1"/>
    <xf numFmtId="0" fontId="151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5" fillId="0" borderId="0" xfId="0" applyFont="1"/>
    <xf numFmtId="1" fontId="185" fillId="0" borderId="0" xfId="0" applyNumberFormat="1" applyFont="1"/>
    <xf numFmtId="0" fontId="186" fillId="0" borderId="0" xfId="0" applyFont="1"/>
    <xf numFmtId="0" fontId="186" fillId="0" borderId="0" xfId="0" applyFont="1" applyBorder="1"/>
    <xf numFmtId="0" fontId="185" fillId="0" borderId="0" xfId="0" applyFont="1" applyAlignment="1">
      <alignment vertical="top"/>
    </xf>
    <xf numFmtId="0" fontId="185" fillId="0" borderId="0" xfId="0" applyFont="1" applyBorder="1"/>
    <xf numFmtId="0" fontId="185" fillId="0" borderId="0" xfId="0" applyFont="1" applyFill="1" applyBorder="1"/>
    <xf numFmtId="4" fontId="185" fillId="0" borderId="0" xfId="0" applyNumberFormat="1" applyFont="1"/>
    <xf numFmtId="170" fontId="0" fillId="0" borderId="0" xfId="0" applyNumberFormat="1"/>
    <xf numFmtId="170" fontId="0" fillId="0" borderId="0" xfId="0" applyNumberFormat="1" applyFill="1"/>
    <xf numFmtId="170" fontId="0" fillId="0" borderId="0" xfId="0" applyNumberFormat="1" applyFill="1" applyBorder="1"/>
    <xf numFmtId="172" fontId="188" fillId="0" borderId="1" xfId="798" applyNumberFormat="1" applyFont="1" applyFill="1" applyBorder="1"/>
    <xf numFmtId="172" fontId="185" fillId="0" borderId="1" xfId="798" applyNumberFormat="1" applyFont="1" applyFill="1" applyBorder="1"/>
    <xf numFmtId="0" fontId="194" fillId="0" borderId="13" xfId="0" applyFont="1" applyFill="1" applyBorder="1" applyAlignment="1" applyProtection="1">
      <alignment horizontal="left" vertical="center"/>
      <protection locked="0"/>
    </xf>
    <xf numFmtId="0" fontId="194" fillId="0" borderId="13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Border="1" applyAlignment="1" applyProtection="1">
      <alignment horizontal="center" vertical="center"/>
      <protection locked="0"/>
    </xf>
    <xf numFmtId="0" fontId="195" fillId="0" borderId="0" xfId="0" applyFont="1" applyFill="1" applyAlignment="1" applyProtection="1">
      <alignment vertical="center"/>
      <protection locked="0"/>
    </xf>
    <xf numFmtId="0" fontId="196" fillId="0" borderId="0" xfId="0" applyFont="1" applyFill="1" applyBorder="1" applyAlignment="1" applyProtection="1">
      <alignment horizontal="left" vertical="center" wrapText="1"/>
      <protection locked="0"/>
    </xf>
    <xf numFmtId="0" fontId="198" fillId="0" borderId="0" xfId="0" applyFont="1" applyFill="1" applyAlignment="1" applyProtection="1">
      <alignment vertical="center"/>
      <protection locked="0"/>
    </xf>
    <xf numFmtId="0" fontId="199" fillId="0" borderId="13" xfId="0" applyFont="1" applyFill="1" applyBorder="1" applyAlignment="1" applyProtection="1">
      <alignment horizontal="left" vertical="center" wrapText="1"/>
      <protection locked="0"/>
    </xf>
    <xf numFmtId="4" fontId="197" fillId="0" borderId="38" xfId="0" applyNumberFormat="1" applyFont="1" applyFill="1" applyBorder="1" applyAlignment="1" applyProtection="1">
      <alignment horizontal="center" vertical="center"/>
      <protection locked="0"/>
    </xf>
    <xf numFmtId="0" fontId="198" fillId="0" borderId="0" xfId="0" applyFont="1" applyFill="1" applyAlignment="1" applyProtection="1">
      <alignment horizontal="left" vertical="center"/>
      <protection locked="0"/>
    </xf>
    <xf numFmtId="0" fontId="198" fillId="0" borderId="0" xfId="798" applyFont="1" applyFill="1" applyAlignment="1" applyProtection="1">
      <alignment horizontal="left" vertical="center"/>
      <protection locked="0"/>
    </xf>
    <xf numFmtId="0" fontId="198" fillId="0" borderId="0" xfId="798" applyFont="1" applyAlignment="1" applyProtection="1">
      <alignment horizontal="left" vertical="center"/>
      <protection locked="0"/>
    </xf>
    <xf numFmtId="0" fontId="198" fillId="0" borderId="0" xfId="0" applyFont="1" applyFill="1" applyBorder="1" applyAlignment="1" applyProtection="1">
      <alignment horizontal="left" vertical="center"/>
      <protection locked="0"/>
    </xf>
    <xf numFmtId="0" fontId="198" fillId="0" borderId="0" xfId="798" applyFont="1" applyFill="1" applyBorder="1" applyAlignment="1" applyProtection="1">
      <alignment horizontal="left" vertical="center"/>
      <protection locked="0"/>
    </xf>
    <xf numFmtId="0" fontId="198" fillId="0" borderId="13" xfId="0" applyFont="1" applyFill="1" applyBorder="1" applyAlignment="1" applyProtection="1">
      <alignment horizontal="left" vertical="center"/>
      <protection locked="0"/>
    </xf>
    <xf numFmtId="0" fontId="198" fillId="0" borderId="13" xfId="798" applyFont="1" applyFill="1" applyBorder="1" applyAlignment="1" applyProtection="1">
      <alignment horizontal="left" vertical="center"/>
      <protection locked="0"/>
    </xf>
    <xf numFmtId="0" fontId="198" fillId="0" borderId="33" xfId="0" applyFont="1" applyFill="1" applyBorder="1" applyAlignment="1" applyProtection="1">
      <alignment horizontal="left" vertical="center"/>
      <protection locked="0"/>
    </xf>
    <xf numFmtId="0" fontId="198" fillId="0" borderId="33" xfId="798" applyFont="1" applyFill="1" applyBorder="1" applyAlignment="1" applyProtection="1">
      <alignment horizontal="left" vertical="center"/>
      <protection locked="0"/>
    </xf>
    <xf numFmtId="170" fontId="198" fillId="0" borderId="33" xfId="0" applyNumberFormat="1" applyFont="1" applyFill="1" applyBorder="1" applyAlignment="1" applyProtection="1">
      <alignment vertical="center"/>
      <protection locked="0"/>
    </xf>
    <xf numFmtId="170" fontId="198" fillId="0" borderId="0" xfId="0" applyNumberFormat="1" applyFont="1" applyFill="1" applyBorder="1" applyAlignment="1" applyProtection="1">
      <alignment vertical="center"/>
      <protection locked="0"/>
    </xf>
    <xf numFmtId="170" fontId="198" fillId="0" borderId="40" xfId="11177" applyNumberFormat="1" applyFont="1" applyFill="1" applyBorder="1" applyAlignment="1" applyProtection="1">
      <alignment vertical="center"/>
    </xf>
    <xf numFmtId="170" fontId="198" fillId="0" borderId="33" xfId="11177" applyNumberFormat="1" applyFont="1" applyFill="1" applyBorder="1" applyAlignment="1" applyProtection="1">
      <alignment vertical="center"/>
    </xf>
    <xf numFmtId="170" fontId="198" fillId="0" borderId="13" xfId="11177" applyNumberFormat="1" applyFont="1" applyFill="1" applyBorder="1" applyAlignment="1" applyProtection="1">
      <alignment vertical="center"/>
    </xf>
    <xf numFmtId="174" fontId="194" fillId="0" borderId="13" xfId="0" applyNumberFormat="1" applyFont="1" applyFill="1" applyBorder="1" applyAlignment="1" applyProtection="1">
      <alignment horizontal="center" vertical="center"/>
      <protection locked="0"/>
    </xf>
    <xf numFmtId="174" fontId="196" fillId="0" borderId="0" xfId="0" applyNumberFormat="1" applyFont="1" applyFill="1" applyBorder="1" applyAlignment="1" applyProtection="1">
      <alignment horizontal="left" vertical="center" wrapText="1"/>
      <protection locked="0"/>
    </xf>
    <xf numFmtId="174" fontId="198" fillId="0" borderId="13" xfId="11177" applyNumberFormat="1" applyFont="1" applyBorder="1" applyAlignment="1" applyProtection="1">
      <alignment horizontal="right" vertical="center"/>
      <protection locked="0"/>
    </xf>
    <xf numFmtId="174" fontId="198" fillId="0" borderId="0" xfId="11177" applyNumberFormat="1" applyFont="1" applyAlignment="1" applyProtection="1">
      <alignment horizontal="right" vertical="center"/>
      <protection locked="0"/>
    </xf>
    <xf numFmtId="174" fontId="198" fillId="0" borderId="33" xfId="11177" applyNumberFormat="1" applyFont="1" applyFill="1" applyBorder="1" applyAlignment="1" applyProtection="1">
      <alignment horizontal="right" vertical="center"/>
      <protection locked="0"/>
    </xf>
    <xf numFmtId="174" fontId="198" fillId="0" borderId="13" xfId="11177" applyNumberFormat="1" applyFont="1" applyFill="1" applyBorder="1" applyAlignment="1" applyProtection="1">
      <alignment horizontal="right" vertical="center"/>
      <protection locked="0"/>
    </xf>
    <xf numFmtId="174" fontId="0" fillId="0" borderId="0" xfId="0" applyNumberFormat="1" applyProtection="1">
      <protection locked="0"/>
    </xf>
    <xf numFmtId="174" fontId="198" fillId="0" borderId="0" xfId="11177" applyNumberFormat="1" applyFont="1" applyFill="1" applyAlignment="1" applyProtection="1">
      <alignment horizontal="right" vertical="center"/>
      <protection locked="0"/>
    </xf>
    <xf numFmtId="174" fontId="198" fillId="0" borderId="0" xfId="0" applyNumberFormat="1" applyFont="1" applyFill="1" applyAlignment="1" applyProtection="1">
      <alignment vertical="center"/>
      <protection locked="0"/>
    </xf>
    <xf numFmtId="174" fontId="198" fillId="0" borderId="0" xfId="11177" applyNumberFormat="1" applyFont="1" applyAlignment="1" applyProtection="1">
      <alignment horizontal="right" vertical="center"/>
    </xf>
    <xf numFmtId="174" fontId="198" fillId="0" borderId="13" xfId="11177" applyNumberFormat="1" applyFont="1" applyBorder="1" applyAlignment="1" applyProtection="1">
      <alignment horizontal="right" vertical="center"/>
    </xf>
    <xf numFmtId="174" fontId="0" fillId="0" borderId="0" xfId="0" applyNumberFormat="1" applyProtection="1"/>
    <xf numFmtId="174" fontId="194" fillId="0" borderId="30" xfId="0" applyNumberFormat="1" applyFont="1" applyFill="1" applyBorder="1" applyAlignment="1" applyProtection="1">
      <alignment vertical="center"/>
      <protection locked="0"/>
    </xf>
    <xf numFmtId="174" fontId="194" fillId="0" borderId="0" xfId="0" applyNumberFormat="1" applyFont="1" applyFill="1" applyBorder="1" applyAlignment="1" applyProtection="1">
      <alignment vertical="center"/>
      <protection locked="0"/>
    </xf>
    <xf numFmtId="174" fontId="200" fillId="37" borderId="39" xfId="0" applyNumberFormat="1" applyFont="1" applyFill="1" applyBorder="1" applyAlignment="1" applyProtection="1">
      <alignment vertical="center"/>
      <protection locked="0"/>
    </xf>
    <xf numFmtId="174" fontId="200" fillId="37" borderId="34" xfId="0" applyNumberFormat="1" applyFont="1" applyFill="1" applyBorder="1" applyAlignment="1" applyProtection="1">
      <alignment vertical="center"/>
      <protection locked="0"/>
    </xf>
    <xf numFmtId="174" fontId="200" fillId="37" borderId="35" xfId="0" applyNumberFormat="1" applyFont="1" applyFill="1" applyBorder="1" applyAlignment="1" applyProtection="1">
      <alignment vertical="center"/>
      <protection locked="0"/>
    </xf>
    <xf numFmtId="174" fontId="201" fillId="37" borderId="27" xfId="11177" applyNumberFormat="1" applyFont="1" applyFill="1" applyBorder="1" applyAlignment="1" applyProtection="1">
      <alignment vertical="center"/>
      <protection locked="0"/>
    </xf>
    <xf numFmtId="174" fontId="201" fillId="37" borderId="41" xfId="11177" applyNumberFormat="1" applyFont="1" applyFill="1" applyBorder="1" applyAlignment="1" applyProtection="1">
      <alignment vertical="center"/>
      <protection locked="0"/>
    </xf>
    <xf numFmtId="174" fontId="201" fillId="37" borderId="29" xfId="11177" applyNumberFormat="1" applyFont="1" applyFill="1" applyBorder="1" applyAlignment="1" applyProtection="1">
      <alignment vertical="center"/>
      <protection locked="0"/>
    </xf>
    <xf numFmtId="174" fontId="201" fillId="37" borderId="42" xfId="11177" applyNumberFormat="1" applyFont="1" applyFill="1" applyBorder="1" applyAlignment="1" applyProtection="1">
      <alignment vertical="center"/>
      <protection locked="0"/>
    </xf>
    <xf numFmtId="174" fontId="201" fillId="37" borderId="30" xfId="11177" applyNumberFormat="1" applyFont="1" applyFill="1" applyBorder="1" applyAlignment="1" applyProtection="1">
      <alignment vertical="center"/>
      <protection locked="0"/>
    </xf>
    <xf numFmtId="174" fontId="201" fillId="37" borderId="31" xfId="11177" applyNumberFormat="1" applyFont="1" applyFill="1" applyBorder="1" applyAlignment="1" applyProtection="1">
      <alignment vertical="center"/>
      <protection locked="0"/>
    </xf>
    <xf numFmtId="174" fontId="201" fillId="37" borderId="32" xfId="11177" applyNumberFormat="1" applyFont="1" applyFill="1" applyBorder="1" applyAlignment="1" applyProtection="1">
      <alignment vertical="center"/>
      <protection locked="0"/>
    </xf>
    <xf numFmtId="174" fontId="201" fillId="37" borderId="43" xfId="11177" applyNumberFormat="1" applyFont="1" applyFill="1" applyBorder="1" applyAlignment="1" applyProtection="1">
      <alignment vertical="center"/>
      <protection locked="0"/>
    </xf>
    <xf numFmtId="174" fontId="201" fillId="0" borderId="33" xfId="11177" applyNumberFormat="1" applyFont="1" applyFill="1" applyBorder="1" applyAlignment="1" applyProtection="1">
      <alignment vertical="center"/>
      <protection locked="0"/>
    </xf>
    <xf numFmtId="174" fontId="201" fillId="0" borderId="13" xfId="11177" applyNumberFormat="1" applyFont="1" applyFill="1" applyBorder="1" applyAlignment="1" applyProtection="1">
      <alignment vertical="center"/>
      <protection locked="0"/>
    </xf>
    <xf numFmtId="174" fontId="198" fillId="0" borderId="33" xfId="0" applyNumberFormat="1" applyFont="1" applyFill="1" applyBorder="1" applyAlignment="1" applyProtection="1">
      <alignment vertical="center"/>
      <protection locked="0"/>
    </xf>
    <xf numFmtId="174" fontId="198" fillId="0" borderId="0" xfId="0" applyNumberFormat="1" applyFont="1" applyFill="1" applyBorder="1" applyAlignment="1" applyProtection="1">
      <alignment vertical="center"/>
      <protection locked="0"/>
    </xf>
    <xf numFmtId="174" fontId="198" fillId="0" borderId="28" xfId="0" applyNumberFormat="1" applyFont="1" applyFill="1" applyBorder="1" applyAlignment="1" applyProtection="1">
      <alignment vertical="center"/>
      <protection locked="0"/>
    </xf>
    <xf numFmtId="174" fontId="198" fillId="0" borderId="30" xfId="0" applyNumberFormat="1" applyFont="1" applyFill="1" applyBorder="1" applyAlignment="1" applyProtection="1">
      <alignment vertical="center"/>
      <protection locked="0"/>
    </xf>
    <xf numFmtId="174" fontId="198" fillId="0" borderId="0" xfId="11177" applyNumberFormat="1" applyFont="1" applyFill="1" applyAlignment="1" applyProtection="1">
      <alignment horizontal="right" vertical="center"/>
    </xf>
    <xf numFmtId="174" fontId="0" fillId="0" borderId="0" xfId="0" applyNumberFormat="1" applyFill="1" applyProtection="1">
      <protection locked="0"/>
    </xf>
    <xf numFmtId="174" fontId="0" fillId="0" borderId="0" xfId="0" applyNumberFormat="1" applyFill="1" applyProtection="1"/>
    <xf numFmtId="174" fontId="153" fillId="0" borderId="0" xfId="0" applyNumberFormat="1" applyFont="1" applyProtection="1">
      <protection locked="0"/>
    </xf>
    <xf numFmtId="174" fontId="153" fillId="0" borderId="0" xfId="0" applyNumberFormat="1" applyFont="1" applyProtection="1"/>
    <xf numFmtId="174" fontId="153" fillId="0" borderId="13" xfId="0" applyNumberFormat="1" applyFont="1" applyBorder="1" applyProtection="1">
      <protection locked="0"/>
    </xf>
    <xf numFmtId="174" fontId="153" fillId="0" borderId="13" xfId="0" applyNumberFormat="1" applyFont="1" applyBorder="1" applyProtection="1"/>
    <xf numFmtId="1" fontId="185" fillId="0" borderId="0" xfId="0" applyNumberFormat="1" applyFont="1" applyBorder="1"/>
    <xf numFmtId="0" fontId="185" fillId="0" borderId="0" xfId="0" applyFont="1" applyBorder="1" applyAlignment="1">
      <alignment vertical="top"/>
    </xf>
    <xf numFmtId="0" fontId="185" fillId="0" borderId="0" xfId="0" applyNumberFormat="1" applyFont="1" applyBorder="1"/>
    <xf numFmtId="0" fontId="203" fillId="0" borderId="0" xfId="0" applyFont="1" applyBorder="1"/>
    <xf numFmtId="0" fontId="203" fillId="0" borderId="0" xfId="0" applyFont="1"/>
    <xf numFmtId="164" fontId="193" fillId="0" borderId="0" xfId="0" applyNumberFormat="1" applyFont="1" applyFill="1" applyBorder="1"/>
    <xf numFmtId="0" fontId="186" fillId="42" borderId="0" xfId="0" applyFont="1" applyFill="1" applyBorder="1"/>
    <xf numFmtId="0" fontId="185" fillId="42" borderId="0" xfId="0" applyFont="1" applyFill="1" applyBorder="1"/>
    <xf numFmtId="1" fontId="185" fillId="42" borderId="0" xfId="0" applyNumberFormat="1" applyFont="1" applyFill="1" applyBorder="1"/>
    <xf numFmtId="0" fontId="203" fillId="42" borderId="0" xfId="0" applyFont="1" applyFill="1" applyBorder="1"/>
    <xf numFmtId="172" fontId="185" fillId="42" borderId="25" xfId="798" applyNumberFormat="1" applyFont="1" applyFill="1" applyBorder="1"/>
    <xf numFmtId="0" fontId="185" fillId="42" borderId="25" xfId="0" applyFont="1" applyFill="1" applyBorder="1"/>
    <xf numFmtId="172" fontId="190" fillId="42" borderId="25" xfId="798" applyNumberFormat="1" applyFont="1" applyFill="1" applyBorder="1"/>
    <xf numFmtId="169" fontId="185" fillId="41" borderId="25" xfId="798" applyNumberFormat="1" applyFont="1" applyFill="1" applyBorder="1"/>
    <xf numFmtId="172" fontId="185" fillId="41" borderId="25" xfId="798" applyNumberFormat="1" applyFont="1" applyFill="1" applyBorder="1"/>
    <xf numFmtId="0" fontId="184" fillId="42" borderId="0" xfId="0" applyFont="1" applyFill="1" applyBorder="1"/>
    <xf numFmtId="172" fontId="188" fillId="41" borderId="1" xfId="798" applyNumberFormat="1" applyFont="1" applyFill="1" applyBorder="1"/>
    <xf numFmtId="172" fontId="185" fillId="41" borderId="1" xfId="798" applyNumberFormat="1" applyFont="1" applyFill="1" applyBorder="1"/>
    <xf numFmtId="172" fontId="188" fillId="42" borderId="25" xfId="798" applyNumberFormat="1" applyFont="1" applyFill="1" applyBorder="1"/>
    <xf numFmtId="1" fontId="185" fillId="42" borderId="25" xfId="0" applyNumberFormat="1" applyFont="1" applyFill="1" applyBorder="1"/>
    <xf numFmtId="0" fontId="185" fillId="0" borderId="25" xfId="0" applyFont="1" applyBorder="1"/>
    <xf numFmtId="0" fontId="186" fillId="0" borderId="0" xfId="0" applyNumberFormat="1" applyFont="1" applyBorder="1"/>
    <xf numFmtId="172" fontId="187" fillId="0" borderId="0" xfId="798" applyNumberFormat="1" applyFont="1" applyFill="1" applyBorder="1"/>
    <xf numFmtId="172" fontId="188" fillId="0" borderId="0" xfId="798" applyNumberFormat="1" applyFont="1" applyFill="1" applyBorder="1"/>
    <xf numFmtId="172" fontId="185" fillId="0" borderId="0" xfId="798" applyNumberFormat="1" applyFont="1" applyFill="1" applyBorder="1"/>
    <xf numFmtId="175" fontId="185" fillId="0" borderId="0" xfId="0" applyNumberFormat="1" applyFont="1" applyBorder="1"/>
    <xf numFmtId="9" fontId="185" fillId="42" borderId="0" xfId="0" applyNumberFormat="1" applyFont="1" applyFill="1" applyBorder="1"/>
    <xf numFmtId="0" fontId="185" fillId="42" borderId="0" xfId="0" applyFont="1" applyFill="1" applyBorder="1" applyAlignment="1">
      <alignment vertical="top"/>
    </xf>
    <xf numFmtId="4" fontId="185" fillId="42" borderId="0" xfId="95" applyNumberFormat="1" applyFont="1" applyFill="1" applyBorder="1" applyAlignment="1">
      <alignment horizontal="right"/>
    </xf>
    <xf numFmtId="17" fontId="185" fillId="0" borderId="47" xfId="0" applyNumberFormat="1" applyFont="1" applyBorder="1" applyAlignment="1">
      <alignment horizontal="center" vertical="center"/>
    </xf>
    <xf numFmtId="0" fontId="186" fillId="41" borderId="36" xfId="0" applyFont="1" applyFill="1" applyBorder="1"/>
    <xf numFmtId="0" fontId="185" fillId="42" borderId="36" xfId="0" applyNumberFormat="1" applyFont="1" applyFill="1" applyBorder="1"/>
    <xf numFmtId="0" fontId="202" fillId="42" borderId="36" xfId="0" applyFont="1" applyFill="1" applyBorder="1"/>
    <xf numFmtId="0" fontId="185" fillId="42" borderId="36" xfId="0" applyFont="1" applyFill="1" applyBorder="1"/>
    <xf numFmtId="0" fontId="186" fillId="42" borderId="36" xfId="0" applyFont="1" applyFill="1" applyBorder="1"/>
    <xf numFmtId="0" fontId="184" fillId="41" borderId="36" xfId="0" applyFont="1" applyFill="1" applyBorder="1"/>
    <xf numFmtId="0" fontId="185" fillId="41" borderId="51" xfId="0" applyFont="1" applyFill="1" applyBorder="1"/>
    <xf numFmtId="0" fontId="185" fillId="42" borderId="51" xfId="0" applyFont="1" applyFill="1" applyBorder="1"/>
    <xf numFmtId="0" fontId="185" fillId="0" borderId="51" xfId="0" applyFont="1" applyFill="1" applyBorder="1"/>
    <xf numFmtId="172" fontId="185" fillId="0" borderId="51" xfId="798" applyNumberFormat="1" applyFont="1" applyFill="1" applyBorder="1"/>
    <xf numFmtId="0" fontId="186" fillId="41" borderId="51" xfId="0" applyFont="1" applyFill="1" applyBorder="1"/>
    <xf numFmtId="0" fontId="185" fillId="0" borderId="51" xfId="0" applyFont="1" applyBorder="1"/>
    <xf numFmtId="17" fontId="186" fillId="0" borderId="8" xfId="0" applyNumberFormat="1" applyFont="1" applyBorder="1" applyAlignment="1">
      <alignment horizontal="center" vertical="center" wrapText="1"/>
    </xf>
    <xf numFmtId="169" fontId="186" fillId="42" borderId="6" xfId="798" applyNumberFormat="1" applyFont="1" applyFill="1" applyBorder="1"/>
    <xf numFmtId="169" fontId="189" fillId="42" borderId="6" xfId="798" applyNumberFormat="1" applyFont="1" applyFill="1" applyBorder="1"/>
    <xf numFmtId="169" fontId="186" fillId="41" borderId="6" xfId="798" applyNumberFormat="1" applyFont="1" applyFill="1" applyBorder="1"/>
    <xf numFmtId="0" fontId="187" fillId="0" borderId="4" xfId="798" applyFont="1" applyFill="1" applyBorder="1"/>
    <xf numFmtId="0" fontId="187" fillId="41" borderId="6" xfId="798" applyFont="1" applyFill="1" applyBorder="1"/>
    <xf numFmtId="0" fontId="187" fillId="42" borderId="6" xfId="798" applyFont="1" applyFill="1" applyBorder="1"/>
    <xf numFmtId="169" fontId="187" fillId="42" borderId="6" xfId="798" applyNumberFormat="1" applyFont="1" applyFill="1" applyBorder="1"/>
    <xf numFmtId="0" fontId="186" fillId="42" borderId="6" xfId="0" applyFont="1" applyFill="1" applyBorder="1"/>
    <xf numFmtId="0" fontId="185" fillId="0" borderId="6" xfId="0" applyFont="1" applyBorder="1"/>
    <xf numFmtId="169" fontId="187" fillId="0" borderId="6" xfId="798" applyNumberFormat="1" applyFont="1" applyFill="1" applyBorder="1"/>
    <xf numFmtId="0" fontId="185" fillId="0" borderId="59" xfId="0" applyFont="1" applyBorder="1" applyAlignment="1">
      <alignment vertical="top"/>
    </xf>
    <xf numFmtId="0" fontId="186" fillId="41" borderId="60" xfId="0" applyFont="1" applyFill="1" applyBorder="1"/>
    <xf numFmtId="0" fontId="185" fillId="42" borderId="60" xfId="0" applyNumberFormat="1" applyFont="1" applyFill="1" applyBorder="1"/>
    <xf numFmtId="0" fontId="202" fillId="42" borderId="60" xfId="0" applyFont="1" applyFill="1" applyBorder="1"/>
    <xf numFmtId="0" fontId="185" fillId="42" borderId="60" xfId="0" applyFont="1" applyFill="1" applyBorder="1"/>
    <xf numFmtId="0" fontId="185" fillId="41" borderId="60" xfId="0" applyFont="1" applyFill="1" applyBorder="1"/>
    <xf numFmtId="0" fontId="185" fillId="0" borderId="60" xfId="0" applyFont="1" applyFill="1" applyBorder="1"/>
    <xf numFmtId="0" fontId="186" fillId="42" borderId="60" xfId="0" applyFont="1" applyFill="1" applyBorder="1"/>
    <xf numFmtId="0" fontId="185" fillId="0" borderId="60" xfId="0" applyFont="1" applyBorder="1"/>
    <xf numFmtId="173" fontId="186" fillId="38" borderId="34" xfId="0" applyNumberFormat="1" applyFont="1" applyFill="1" applyBorder="1" applyAlignment="1">
      <alignment vertical="center"/>
    </xf>
    <xf numFmtId="173" fontId="186" fillId="38" borderId="35" xfId="0" applyNumberFormat="1" applyFont="1" applyFill="1" applyBorder="1" applyAlignment="1">
      <alignment vertical="center"/>
    </xf>
    <xf numFmtId="173" fontId="186" fillId="38" borderId="26" xfId="0" applyNumberFormat="1" applyFont="1" applyFill="1" applyBorder="1" applyAlignment="1">
      <alignment vertical="center"/>
    </xf>
    <xf numFmtId="169" fontId="186" fillId="41" borderId="15" xfId="798" applyNumberFormat="1" applyFont="1" applyFill="1" applyBorder="1"/>
    <xf numFmtId="169" fontId="185" fillId="41" borderId="2" xfId="798" applyNumberFormat="1" applyFont="1" applyFill="1" applyBorder="1"/>
    <xf numFmtId="0" fontId="185" fillId="41" borderId="65" xfId="0" applyFont="1" applyFill="1" applyBorder="1"/>
    <xf numFmtId="173" fontId="203" fillId="0" borderId="0" xfId="0" applyNumberFormat="1" applyFont="1" applyBorder="1"/>
    <xf numFmtId="173" fontId="186" fillId="42" borderId="0" xfId="0" applyNumberFormat="1" applyFont="1" applyFill="1" applyBorder="1" applyAlignment="1">
      <alignment vertical="center"/>
    </xf>
    <xf numFmtId="173" fontId="186" fillId="42" borderId="13" xfId="0" applyNumberFormat="1" applyFont="1" applyFill="1" applyBorder="1" applyAlignment="1">
      <alignment vertical="center"/>
    </xf>
    <xf numFmtId="0" fontId="185" fillId="42" borderId="44" xfId="0" applyFont="1" applyFill="1" applyBorder="1"/>
    <xf numFmtId="0" fontId="185" fillId="42" borderId="44" xfId="0" applyFont="1" applyFill="1" applyBorder="1" applyAlignment="1">
      <alignment vertical="top"/>
    </xf>
    <xf numFmtId="173" fontId="185" fillId="42" borderId="34" xfId="0" applyNumberFormat="1" applyFont="1" applyFill="1" applyBorder="1" applyAlignment="1">
      <alignment vertical="center"/>
    </xf>
    <xf numFmtId="173" fontId="185" fillId="42" borderId="35" xfId="0" applyNumberFormat="1" applyFont="1" applyFill="1" applyBorder="1" applyAlignment="1">
      <alignment vertical="center"/>
    </xf>
    <xf numFmtId="169" fontId="186" fillId="41" borderId="8" xfId="798" applyNumberFormat="1" applyFont="1" applyFill="1" applyBorder="1"/>
    <xf numFmtId="172" fontId="185" fillId="41" borderId="47" xfId="798" applyNumberFormat="1" applyFont="1" applyFill="1" applyBorder="1"/>
    <xf numFmtId="0" fontId="185" fillId="41" borderId="57" xfId="0" applyFont="1" applyFill="1" applyBorder="1"/>
    <xf numFmtId="173" fontId="185" fillId="38" borderId="34" xfId="0" applyNumberFormat="1" applyFont="1" applyFill="1" applyBorder="1" applyAlignment="1">
      <alignment vertical="center"/>
    </xf>
    <xf numFmtId="168" fontId="204" fillId="38" borderId="34" xfId="0" applyNumberFormat="1" applyFont="1" applyFill="1" applyBorder="1"/>
    <xf numFmtId="173" fontId="185" fillId="38" borderId="35" xfId="0" applyNumberFormat="1" applyFont="1" applyFill="1" applyBorder="1" applyAlignment="1">
      <alignment vertical="center"/>
    </xf>
    <xf numFmtId="173" fontId="186" fillId="42" borderId="34" xfId="0" applyNumberFormat="1" applyFont="1" applyFill="1" applyBorder="1" applyAlignment="1">
      <alignment vertical="center"/>
    </xf>
    <xf numFmtId="168" fontId="204" fillId="42" borderId="34" xfId="0" applyNumberFormat="1" applyFont="1" applyFill="1" applyBorder="1"/>
    <xf numFmtId="169" fontId="187" fillId="41" borderId="6" xfId="798" applyNumberFormat="1" applyFont="1" applyFill="1" applyBorder="1"/>
    <xf numFmtId="169" fontId="187" fillId="41" borderId="15" xfId="798" applyNumberFormat="1" applyFont="1" applyFill="1" applyBorder="1"/>
    <xf numFmtId="0" fontId="185" fillId="42" borderId="65" xfId="0" applyFont="1" applyFill="1" applyBorder="1"/>
    <xf numFmtId="0" fontId="187" fillId="41" borderId="8" xfId="798" applyFont="1" applyFill="1" applyBorder="1"/>
    <xf numFmtId="0" fontId="186" fillId="41" borderId="57" xfId="0" applyFont="1" applyFill="1" applyBorder="1"/>
    <xf numFmtId="0" fontId="186" fillId="41" borderId="45" xfId="0" applyFont="1" applyFill="1" applyBorder="1"/>
    <xf numFmtId="0" fontId="185" fillId="41" borderId="61" xfId="0" applyFont="1" applyFill="1" applyBorder="1"/>
    <xf numFmtId="169" fontId="186" fillId="41" borderId="58" xfId="798" applyNumberFormat="1" applyFont="1" applyFill="1" applyBorder="1"/>
    <xf numFmtId="0" fontId="185" fillId="41" borderId="53" xfId="0" applyFont="1" applyFill="1" applyBorder="1"/>
    <xf numFmtId="0" fontId="185" fillId="42" borderId="37" xfId="0" applyFont="1" applyFill="1" applyBorder="1"/>
    <xf numFmtId="0" fontId="185" fillId="0" borderId="48" xfId="0" applyFont="1" applyFill="1" applyBorder="1"/>
    <xf numFmtId="0" fontId="186" fillId="41" borderId="8" xfId="0" applyFont="1" applyFill="1" applyBorder="1"/>
    <xf numFmtId="0" fontId="185" fillId="41" borderId="47" xfId="0" applyFont="1" applyFill="1" applyBorder="1"/>
    <xf numFmtId="1" fontId="185" fillId="41" borderId="47" xfId="0" applyNumberFormat="1" applyFont="1" applyFill="1" applyBorder="1"/>
    <xf numFmtId="168" fontId="186" fillId="47" borderId="26" xfId="0" applyNumberFormat="1" applyFont="1" applyFill="1" applyBorder="1"/>
    <xf numFmtId="176" fontId="205" fillId="42" borderId="0" xfId="0" applyNumberFormat="1" applyFont="1" applyFill="1" applyBorder="1" applyAlignment="1">
      <alignment horizontal="center"/>
    </xf>
    <xf numFmtId="176" fontId="187" fillId="44" borderId="49" xfId="0" applyNumberFormat="1" applyFont="1" applyFill="1" applyBorder="1" applyAlignment="1">
      <alignment horizontal="center" vertical="top" wrapText="1"/>
    </xf>
    <xf numFmtId="176" fontId="187" fillId="45" borderId="1" xfId="0" applyNumberFormat="1" applyFont="1" applyFill="1" applyBorder="1" applyAlignment="1">
      <alignment horizontal="center" vertical="top" wrapText="1"/>
    </xf>
    <xf numFmtId="176" fontId="187" fillId="37" borderId="48" xfId="0" applyNumberFormat="1" applyFont="1" applyFill="1" applyBorder="1" applyAlignment="1">
      <alignment horizontal="center" vertical="top" wrapText="1"/>
    </xf>
    <xf numFmtId="176" fontId="186" fillId="47" borderId="34" xfId="0" applyNumberFormat="1" applyFont="1" applyFill="1" applyBorder="1" applyAlignment="1">
      <alignment horizontal="center" vertical="center"/>
    </xf>
    <xf numFmtId="176" fontId="185" fillId="42" borderId="0" xfId="0" applyNumberFormat="1" applyFont="1" applyFill="1" applyBorder="1" applyAlignment="1">
      <alignment horizontal="center"/>
    </xf>
    <xf numFmtId="176" fontId="185" fillId="41" borderId="50" xfId="0" applyNumberFormat="1" applyFont="1" applyFill="1" applyBorder="1" applyAlignment="1">
      <alignment horizontal="center" vertical="center"/>
    </xf>
    <xf numFmtId="176" fontId="185" fillId="41" borderId="25" xfId="0" applyNumberFormat="1" applyFont="1" applyFill="1" applyBorder="1" applyAlignment="1">
      <alignment horizontal="center" vertical="center"/>
    </xf>
    <xf numFmtId="176" fontId="185" fillId="41" borderId="51" xfId="0" applyNumberFormat="1" applyFont="1" applyFill="1" applyBorder="1" applyAlignment="1">
      <alignment horizontal="center" vertical="center"/>
    </xf>
    <xf numFmtId="176" fontId="185" fillId="44" borderId="50" xfId="0" applyNumberFormat="1" applyFont="1" applyFill="1" applyBorder="1" applyAlignment="1">
      <alignment horizontal="center" vertical="center"/>
    </xf>
    <xf numFmtId="176" fontId="185" fillId="46" borderId="25" xfId="0" applyNumberFormat="1" applyFont="1" applyFill="1" applyBorder="1" applyAlignment="1">
      <alignment horizontal="center" vertical="center"/>
    </xf>
    <xf numFmtId="176" fontId="185" fillId="37" borderId="51" xfId="0" applyNumberFormat="1" applyFont="1" applyFill="1" applyBorder="1" applyAlignment="1">
      <alignment horizontal="center" vertical="center"/>
    </xf>
    <xf numFmtId="176" fontId="185" fillId="41" borderId="64" xfId="0" applyNumberFormat="1" applyFont="1" applyFill="1" applyBorder="1" applyAlignment="1">
      <alignment horizontal="center" vertical="center"/>
    </xf>
    <xf numFmtId="176" fontId="185" fillId="41" borderId="2" xfId="0" applyNumberFormat="1" applyFont="1" applyFill="1" applyBorder="1" applyAlignment="1">
      <alignment horizontal="center" vertical="center"/>
    </xf>
    <xf numFmtId="176" fontId="185" fillId="41" borderId="65" xfId="0" applyNumberFormat="1" applyFont="1" applyFill="1" applyBorder="1" applyAlignment="1">
      <alignment horizontal="center" vertical="center"/>
    </xf>
    <xf numFmtId="176" fontId="185" fillId="42" borderId="34" xfId="0" applyNumberFormat="1" applyFont="1" applyFill="1" applyBorder="1" applyAlignment="1">
      <alignment horizontal="center" vertical="center"/>
    </xf>
    <xf numFmtId="176" fontId="185" fillId="42" borderId="35" xfId="0" applyNumberFormat="1" applyFont="1" applyFill="1" applyBorder="1" applyAlignment="1">
      <alignment horizontal="center" vertical="center"/>
    </xf>
    <xf numFmtId="176" fontId="185" fillId="41" borderId="63" xfId="0" applyNumberFormat="1" applyFont="1" applyFill="1" applyBorder="1" applyAlignment="1">
      <alignment horizontal="center" vertical="center"/>
    </xf>
    <xf numFmtId="176" fontId="185" fillId="41" borderId="47" xfId="0" applyNumberFormat="1" applyFont="1" applyFill="1" applyBorder="1" applyAlignment="1">
      <alignment horizontal="center" vertical="center"/>
    </xf>
    <xf numFmtId="176" fontId="185" fillId="41" borderId="57" xfId="0" applyNumberFormat="1" applyFont="1" applyFill="1" applyBorder="1" applyAlignment="1">
      <alignment horizontal="center" vertical="center"/>
    </xf>
    <xf numFmtId="176" fontId="185" fillId="44" borderId="50" xfId="0" applyNumberFormat="1" applyFont="1" applyFill="1" applyBorder="1" applyAlignment="1">
      <alignment horizontal="center" vertical="center" wrapText="1"/>
    </xf>
    <xf numFmtId="176" fontId="185" fillId="37" borderId="51" xfId="11177" applyNumberFormat="1" applyFont="1" applyFill="1" applyBorder="1" applyAlignment="1">
      <alignment horizontal="center" vertical="center"/>
    </xf>
    <xf numFmtId="176" fontId="185" fillId="41" borderId="52" xfId="0" applyNumberFormat="1" applyFont="1" applyFill="1" applyBorder="1" applyAlignment="1">
      <alignment horizontal="center" vertical="center"/>
    </xf>
    <xf numFmtId="176" fontId="185" fillId="41" borderId="46" xfId="0" applyNumberFormat="1" applyFont="1" applyFill="1" applyBorder="1" applyAlignment="1">
      <alignment horizontal="center" vertical="center"/>
    </xf>
    <xf numFmtId="176" fontId="185" fillId="41" borderId="53" xfId="0" applyNumberFormat="1" applyFont="1" applyFill="1" applyBorder="1" applyAlignment="1">
      <alignment horizontal="center" vertical="center"/>
    </xf>
    <xf numFmtId="176" fontId="186" fillId="42" borderId="13" xfId="0" applyNumberFormat="1" applyFont="1" applyFill="1" applyBorder="1" applyAlignment="1">
      <alignment horizontal="center" vertical="center"/>
    </xf>
    <xf numFmtId="176" fontId="186" fillId="42" borderId="44" xfId="0" applyNumberFormat="1" applyFont="1" applyFill="1" applyBorder="1" applyAlignment="1">
      <alignment horizontal="center" vertical="center"/>
    </xf>
    <xf numFmtId="176" fontId="186" fillId="42" borderId="0" xfId="0" applyNumberFormat="1" applyFont="1" applyFill="1" applyBorder="1" applyAlignment="1">
      <alignment horizontal="center" vertical="center"/>
    </xf>
    <xf numFmtId="176" fontId="186" fillId="42" borderId="37" xfId="0" applyNumberFormat="1" applyFont="1" applyFill="1" applyBorder="1" applyAlignment="1">
      <alignment horizontal="center" vertical="center"/>
    </xf>
    <xf numFmtId="176" fontId="185" fillId="43" borderId="34" xfId="0" applyNumberFormat="1" applyFont="1" applyFill="1" applyBorder="1" applyAlignment="1">
      <alignment horizontal="center" vertical="center"/>
    </xf>
    <xf numFmtId="176" fontId="185" fillId="43" borderId="35" xfId="0" applyNumberFormat="1" applyFont="1" applyFill="1" applyBorder="1" applyAlignment="1">
      <alignment horizontal="center" vertical="center"/>
    </xf>
    <xf numFmtId="176" fontId="185" fillId="0" borderId="49" xfId="0" applyNumberFormat="1" applyFont="1" applyFill="1" applyBorder="1" applyAlignment="1">
      <alignment horizontal="center" vertical="center" wrapText="1"/>
    </xf>
    <xf numFmtId="176" fontId="185" fillId="0" borderId="1" xfId="0" applyNumberFormat="1" applyFont="1" applyFill="1" applyBorder="1" applyAlignment="1">
      <alignment horizontal="center" vertical="center"/>
    </xf>
    <xf numFmtId="176" fontId="185" fillId="0" borderId="48" xfId="11177" applyNumberFormat="1" applyFont="1" applyFill="1" applyBorder="1" applyAlignment="1">
      <alignment horizontal="center" vertical="center"/>
    </xf>
    <xf numFmtId="176" fontId="185" fillId="41" borderId="63" xfId="0" applyNumberFormat="1" applyFont="1" applyFill="1" applyBorder="1" applyAlignment="1">
      <alignment horizontal="center" vertical="center" wrapText="1"/>
    </xf>
    <xf numFmtId="176" fontId="185" fillId="41" borderId="57" xfId="11177" applyNumberFormat="1" applyFont="1" applyFill="1" applyBorder="1" applyAlignment="1">
      <alignment horizontal="center" vertical="center"/>
    </xf>
    <xf numFmtId="176" fontId="185" fillId="41" borderId="50" xfId="0" applyNumberFormat="1" applyFont="1" applyFill="1" applyBorder="1" applyAlignment="1">
      <alignment horizontal="center" vertical="center" wrapText="1"/>
    </xf>
    <xf numFmtId="176" fontId="185" fillId="41" borderId="51" xfId="11177" applyNumberFormat="1" applyFont="1" applyFill="1" applyBorder="1" applyAlignment="1">
      <alignment horizontal="center" vertical="center"/>
    </xf>
    <xf numFmtId="176" fontId="185" fillId="41" borderId="65" xfId="11177" applyNumberFormat="1" applyFont="1" applyFill="1" applyBorder="1" applyAlignment="1">
      <alignment horizontal="center" vertical="center"/>
    </xf>
    <xf numFmtId="176" fontId="185" fillId="44" borderId="50" xfId="0" applyNumberFormat="1" applyFont="1" applyFill="1" applyBorder="1" applyAlignment="1">
      <alignment horizontal="center"/>
    </xf>
    <xf numFmtId="176" fontId="185" fillId="37" borderId="51" xfId="0" applyNumberFormat="1" applyFont="1" applyFill="1" applyBorder="1" applyAlignment="1">
      <alignment horizontal="center"/>
    </xf>
    <xf numFmtId="176" fontId="185" fillId="41" borderId="64" xfId="0" applyNumberFormat="1" applyFont="1" applyFill="1" applyBorder="1" applyAlignment="1">
      <alignment horizontal="center" vertical="center" wrapText="1"/>
    </xf>
    <xf numFmtId="176" fontId="185" fillId="0" borderId="0" xfId="0" applyNumberFormat="1" applyFont="1" applyFill="1" applyBorder="1" applyAlignment="1">
      <alignment horizontal="center" vertical="center"/>
    </xf>
    <xf numFmtId="176" fontId="185" fillId="0" borderId="0" xfId="0" applyNumberFormat="1" applyFont="1" applyFill="1" applyBorder="1" applyAlignment="1">
      <alignment horizontal="center"/>
    </xf>
    <xf numFmtId="176" fontId="185" fillId="0" borderId="0" xfId="0" applyNumberFormat="1" applyFont="1" applyBorder="1" applyAlignment="1">
      <alignment horizontal="center"/>
    </xf>
    <xf numFmtId="176" fontId="187" fillId="0" borderId="0" xfId="0" applyNumberFormat="1" applyFont="1" applyFill="1" applyBorder="1" applyAlignment="1">
      <alignment horizontal="center"/>
    </xf>
    <xf numFmtId="176" fontId="185" fillId="0" borderId="0" xfId="0" applyNumberFormat="1" applyFont="1" applyAlignment="1">
      <alignment horizontal="center"/>
    </xf>
    <xf numFmtId="174" fontId="198" fillId="0" borderId="0" xfId="11177" applyNumberFormat="1" applyFont="1" applyBorder="1" applyAlignment="1" applyProtection="1">
      <alignment horizontal="right" vertical="center"/>
    </xf>
    <xf numFmtId="0" fontId="185" fillId="0" borderId="0" xfId="0" applyFont="1" applyFill="1"/>
    <xf numFmtId="0" fontId="206" fillId="48" borderId="0" xfId="0" applyFont="1" applyFill="1"/>
    <xf numFmtId="0" fontId="207" fillId="48" borderId="25" xfId="0" applyFont="1" applyFill="1" applyBorder="1" applyAlignment="1">
      <alignment horizontal="center"/>
    </xf>
    <xf numFmtId="174" fontId="207" fillId="48" borderId="25" xfId="0" applyNumberFormat="1" applyFont="1" applyFill="1" applyBorder="1" applyAlignment="1">
      <alignment horizontal="center"/>
    </xf>
    <xf numFmtId="174" fontId="208" fillId="48" borderId="25" xfId="0" applyNumberFormat="1" applyFont="1" applyFill="1" applyBorder="1" applyAlignment="1">
      <alignment horizontal="center"/>
    </xf>
    <xf numFmtId="174" fontId="208" fillId="0" borderId="0" xfId="0" applyNumberFormat="1" applyFont="1" applyAlignment="1">
      <alignment horizontal="center"/>
    </xf>
    <xf numFmtId="174" fontId="207" fillId="0" borderId="0" xfId="0" applyNumberFormat="1" applyFont="1" applyAlignment="1">
      <alignment horizontal="center"/>
    </xf>
    <xf numFmtId="174" fontId="207" fillId="0" borderId="0" xfId="0" applyNumberFormat="1" applyFont="1" applyFill="1" applyAlignment="1">
      <alignment horizontal="center"/>
    </xf>
    <xf numFmtId="0" fontId="207" fillId="0" borderId="0" xfId="0" applyFont="1"/>
    <xf numFmtId="0" fontId="207" fillId="0" borderId="0" xfId="0" applyFont="1" applyAlignment="1">
      <alignment horizontal="center"/>
    </xf>
    <xf numFmtId="0" fontId="207" fillId="0" borderId="0" xfId="0" applyFont="1" applyFill="1"/>
    <xf numFmtId="174" fontId="207" fillId="49" borderId="0" xfId="0" applyNumberFormat="1" applyFont="1" applyFill="1" applyAlignment="1">
      <alignment horizontal="center"/>
    </xf>
    <xf numFmtId="14" fontId="210" fillId="48" borderId="0" xfId="0" applyNumberFormat="1" applyFont="1" applyFill="1" applyBorder="1" applyAlignment="1">
      <alignment horizontal="center"/>
    </xf>
    <xf numFmtId="174" fontId="210" fillId="48" borderId="0" xfId="11177" applyNumberFormat="1" applyFont="1" applyFill="1" applyBorder="1" applyAlignment="1">
      <alignment horizontal="center"/>
    </xf>
    <xf numFmtId="174" fontId="210" fillId="48" borderId="0" xfId="0" applyNumberFormat="1" applyFont="1" applyFill="1" applyBorder="1" applyAlignment="1">
      <alignment horizontal="center"/>
    </xf>
    <xf numFmtId="174" fontId="211" fillId="48" borderId="0" xfId="0" applyNumberFormat="1" applyFont="1" applyFill="1" applyBorder="1" applyAlignment="1">
      <alignment horizontal="center"/>
    </xf>
    <xf numFmtId="0" fontId="207" fillId="0" borderId="0" xfId="0" applyFont="1" applyFill="1" applyAlignment="1">
      <alignment horizontal="center"/>
    </xf>
    <xf numFmtId="174" fontId="208" fillId="0" borderId="0" xfId="0" applyNumberFormat="1" applyFont="1" applyFill="1" applyAlignment="1">
      <alignment horizontal="center"/>
    </xf>
    <xf numFmtId="174" fontId="207" fillId="39" borderId="0" xfId="0" applyNumberFormat="1" applyFont="1" applyFill="1" applyAlignment="1">
      <alignment horizontal="center"/>
    </xf>
    <xf numFmtId="174" fontId="207" fillId="47" borderId="0" xfId="0" applyNumberFormat="1" applyFont="1" applyFill="1" applyAlignment="1">
      <alignment horizontal="center"/>
    </xf>
    <xf numFmtId="174" fontId="207" fillId="40" borderId="0" xfId="0" applyNumberFormat="1" applyFont="1" applyFill="1" applyAlignment="1">
      <alignment horizontal="center"/>
    </xf>
    <xf numFmtId="14" fontId="209" fillId="49" borderId="25" xfId="0" applyNumberFormat="1" applyFont="1" applyFill="1" applyBorder="1" applyAlignment="1">
      <alignment horizontal="center"/>
    </xf>
    <xf numFmtId="174" fontId="209" fillId="49" borderId="25" xfId="11177" applyNumberFormat="1" applyFont="1" applyFill="1" applyBorder="1" applyAlignment="1">
      <alignment horizontal="center"/>
    </xf>
    <xf numFmtId="174" fontId="209" fillId="49" borderId="25" xfId="0" applyNumberFormat="1" applyFont="1" applyFill="1" applyBorder="1" applyAlignment="1">
      <alignment horizontal="center"/>
    </xf>
    <xf numFmtId="174" fontId="208" fillId="49" borderId="25" xfId="0" applyNumberFormat="1" applyFont="1" applyFill="1" applyBorder="1" applyAlignment="1">
      <alignment horizontal="center"/>
    </xf>
    <xf numFmtId="174" fontId="207" fillId="49" borderId="25" xfId="0" applyNumberFormat="1" applyFont="1" applyFill="1" applyBorder="1" applyAlignment="1">
      <alignment horizontal="center"/>
    </xf>
    <xf numFmtId="174" fontId="207" fillId="0" borderId="0" xfId="11177" applyNumberFormat="1" applyFont="1" applyFill="1" applyAlignment="1">
      <alignment horizontal="center"/>
    </xf>
    <xf numFmtId="176" fontId="186" fillId="47" borderId="35" xfId="0" applyNumberFormat="1" applyFont="1" applyFill="1" applyBorder="1" applyAlignment="1">
      <alignment horizontal="center" vertical="center"/>
    </xf>
    <xf numFmtId="4" fontId="185" fillId="42" borderId="25" xfId="798" applyNumberFormat="1" applyFont="1" applyFill="1" applyBorder="1"/>
    <xf numFmtId="0" fontId="186" fillId="43" borderId="55" xfId="0" applyFont="1" applyFill="1" applyBorder="1" applyAlignment="1">
      <alignment horizontal="center" vertical="center"/>
    </xf>
    <xf numFmtId="0" fontId="186" fillId="43" borderId="56" xfId="0" applyFont="1" applyFill="1" applyBorder="1" applyAlignment="1">
      <alignment horizontal="center" vertical="center"/>
    </xf>
    <xf numFmtId="1" fontId="188" fillId="0" borderId="47" xfId="0" applyNumberFormat="1" applyFont="1" applyBorder="1" applyAlignment="1">
      <alignment horizontal="center" vertical="center"/>
    </xf>
    <xf numFmtId="1" fontId="188" fillId="0" borderId="57" xfId="0" applyNumberFormat="1" applyFont="1" applyBorder="1" applyAlignment="1">
      <alignment horizontal="center" vertical="center"/>
    </xf>
    <xf numFmtId="176" fontId="185" fillId="42" borderId="13" xfId="0" applyNumberFormat="1" applyFont="1" applyFill="1" applyBorder="1" applyAlignment="1">
      <alignment horizontal="center"/>
    </xf>
    <xf numFmtId="176" fontId="187" fillId="50" borderId="48" xfId="0" applyNumberFormat="1" applyFont="1" applyFill="1" applyBorder="1" applyAlignment="1">
      <alignment horizontal="center" vertical="top" wrapText="1"/>
    </xf>
    <xf numFmtId="176" fontId="185" fillId="50" borderId="54" xfId="0" applyNumberFormat="1" applyFont="1" applyFill="1" applyBorder="1" applyAlignment="1">
      <alignment horizontal="center" vertical="center"/>
    </xf>
    <xf numFmtId="176" fontId="185" fillId="50" borderId="35" xfId="0" applyNumberFormat="1" applyFont="1" applyFill="1" applyBorder="1" applyAlignment="1">
      <alignment horizontal="center" vertical="center"/>
    </xf>
    <xf numFmtId="176" fontId="185" fillId="50" borderId="51" xfId="11177" applyNumberFormat="1" applyFont="1" applyFill="1" applyBorder="1" applyAlignment="1">
      <alignment horizontal="center" vertical="center"/>
    </xf>
    <xf numFmtId="176" fontId="185" fillId="50" borderId="44" xfId="0" applyNumberFormat="1" applyFont="1" applyFill="1" applyBorder="1" applyAlignment="1">
      <alignment horizontal="center" vertical="center"/>
    </xf>
    <xf numFmtId="176" fontId="185" fillId="50" borderId="51" xfId="0" applyNumberFormat="1" applyFont="1" applyFill="1" applyBorder="1" applyAlignment="1">
      <alignment horizontal="center" vertical="center"/>
    </xf>
    <xf numFmtId="176" fontId="185" fillId="50" borderId="51" xfId="0" applyNumberFormat="1" applyFont="1" applyFill="1" applyBorder="1" applyAlignment="1">
      <alignment horizontal="center"/>
    </xf>
    <xf numFmtId="176" fontId="185" fillId="42" borderId="0" xfId="0" applyNumberFormat="1" applyFont="1" applyFill="1" applyBorder="1" applyAlignment="1">
      <alignment horizontal="center" vertical="center"/>
    </xf>
    <xf numFmtId="176" fontId="186" fillId="50" borderId="66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06" fillId="48" borderId="0" xfId="0" applyFont="1" applyFill="1" applyAlignment="1">
      <alignment horizontal="center"/>
    </xf>
    <xf numFmtId="0" fontId="212" fillId="0" borderId="0" xfId="0" applyFont="1"/>
    <xf numFmtId="176" fontId="213" fillId="42" borderId="0" xfId="0" applyNumberFormat="1" applyFont="1" applyFill="1" applyBorder="1" applyAlignment="1">
      <alignment horizontal="center"/>
    </xf>
    <xf numFmtId="0" fontId="205" fillId="0" borderId="0" xfId="0" applyFont="1" applyFill="1" applyBorder="1"/>
    <xf numFmtId="176" fontId="205" fillId="0" borderId="0" xfId="0" applyNumberFormat="1" applyFont="1" applyFill="1" applyBorder="1" applyAlignment="1">
      <alignment horizontal="center"/>
    </xf>
    <xf numFmtId="2" fontId="205" fillId="0" borderId="0" xfId="0" applyNumberFormat="1" applyFont="1" applyFill="1" applyBorder="1"/>
    <xf numFmtId="4" fontId="205" fillId="0" borderId="0" xfId="0" applyNumberFormat="1" applyFont="1" applyFill="1" applyBorder="1"/>
    <xf numFmtId="4" fontId="185" fillId="0" borderId="0" xfId="0" applyNumberFormat="1" applyFont="1" applyBorder="1"/>
    <xf numFmtId="2" fontId="186" fillId="0" borderId="0" xfId="0" applyNumberFormat="1" applyFont="1" applyFill="1" applyBorder="1" applyAlignment="1">
      <alignment horizontal="center"/>
    </xf>
    <xf numFmtId="2" fontId="187" fillId="0" borderId="0" xfId="0" applyNumberFormat="1" applyFont="1" applyFill="1" applyBorder="1" applyAlignment="1">
      <alignment horizontal="center"/>
    </xf>
    <xf numFmtId="2" fontId="185" fillId="0" borderId="0" xfId="0" applyNumberFormat="1" applyFont="1" applyFill="1" applyBorder="1" applyAlignment="1">
      <alignment horizontal="center"/>
    </xf>
    <xf numFmtId="4" fontId="185" fillId="0" borderId="0" xfId="0" applyNumberFormat="1" applyFont="1" applyFill="1" applyBorder="1"/>
    <xf numFmtId="174" fontId="186" fillId="0" borderId="0" xfId="0" applyNumberFormat="1" applyFont="1" applyFill="1" applyBorder="1" applyAlignment="1">
      <alignment horizontal="center"/>
    </xf>
    <xf numFmtId="174" fontId="187" fillId="0" borderId="0" xfId="0" applyNumberFormat="1" applyFont="1" applyFill="1" applyBorder="1" applyAlignment="1">
      <alignment horizontal="center"/>
    </xf>
    <xf numFmtId="173" fontId="186" fillId="38" borderId="66" xfId="0" applyNumberFormat="1" applyFont="1" applyFill="1" applyBorder="1" applyAlignment="1">
      <alignment vertical="center"/>
    </xf>
    <xf numFmtId="168" fontId="204" fillId="42" borderId="66" xfId="0" applyNumberFormat="1" applyFont="1" applyFill="1" applyBorder="1"/>
    <xf numFmtId="168" fontId="204" fillId="42" borderId="60" xfId="0" applyNumberFormat="1" applyFont="1" applyFill="1" applyBorder="1"/>
    <xf numFmtId="168" fontId="204" fillId="38" borderId="66" xfId="0" applyNumberFormat="1" applyFont="1" applyFill="1" applyBorder="1"/>
    <xf numFmtId="176" fontId="186" fillId="42" borderId="66" xfId="0" applyNumberFormat="1" applyFont="1" applyFill="1" applyBorder="1" applyAlignment="1">
      <alignment horizontal="center" vertical="center"/>
    </xf>
    <xf numFmtId="176" fontId="186" fillId="0" borderId="66" xfId="0" applyNumberFormat="1" applyFont="1" applyFill="1" applyBorder="1" applyAlignment="1">
      <alignment horizontal="center" vertical="center"/>
    </xf>
    <xf numFmtId="176" fontId="185" fillId="50" borderId="66" xfId="0" applyNumberFormat="1" applyFont="1" applyFill="1" applyBorder="1" applyAlignment="1">
      <alignment horizontal="center" vertical="center"/>
    </xf>
    <xf numFmtId="176" fontId="185" fillId="42" borderId="66" xfId="11177" applyNumberFormat="1" applyFont="1" applyFill="1" applyBorder="1" applyAlignment="1">
      <alignment horizontal="center" vertical="center"/>
    </xf>
    <xf numFmtId="168" fontId="204" fillId="38" borderId="35" xfId="0" applyNumberFormat="1" applyFont="1" applyFill="1" applyBorder="1"/>
    <xf numFmtId="0" fontId="186" fillId="41" borderId="37" xfId="0" applyFont="1" applyFill="1" applyBorder="1"/>
    <xf numFmtId="0" fontId="203" fillId="42" borderId="60" xfId="0" applyFont="1" applyFill="1" applyBorder="1"/>
    <xf numFmtId="171" fontId="186" fillId="42" borderId="0" xfId="0" applyNumberFormat="1" applyFont="1" applyFill="1" applyBorder="1" applyAlignment="1">
      <alignment horizontal="left"/>
    </xf>
    <xf numFmtId="176" fontId="185" fillId="44" borderId="64" xfId="0" applyNumberFormat="1" applyFont="1" applyFill="1" applyBorder="1" applyAlignment="1">
      <alignment horizontal="center" vertical="center"/>
    </xf>
    <xf numFmtId="176" fontId="185" fillId="37" borderId="65" xfId="0" applyNumberFormat="1" applyFont="1" applyFill="1" applyBorder="1" applyAlignment="1">
      <alignment horizontal="center" vertical="center"/>
    </xf>
    <xf numFmtId="176" fontId="185" fillId="50" borderId="67" xfId="0" applyNumberFormat="1" applyFont="1" applyFill="1" applyBorder="1" applyAlignment="1">
      <alignment horizontal="center" vertical="center"/>
    </xf>
    <xf numFmtId="169" fontId="186" fillId="42" borderId="15" xfId="798" applyNumberFormat="1" applyFont="1" applyFill="1" applyBorder="1"/>
    <xf numFmtId="172" fontId="185" fillId="42" borderId="2" xfId="798" applyNumberFormat="1" applyFont="1" applyFill="1" applyBorder="1"/>
    <xf numFmtId="174" fontId="186" fillId="43" borderId="66" xfId="0" applyNumberFormat="1" applyFont="1" applyFill="1" applyBorder="1" applyAlignment="1">
      <alignment horizontal="center" vertical="center" wrapText="1"/>
    </xf>
    <xf numFmtId="176" fontId="186" fillId="50" borderId="56" xfId="0" applyNumberFormat="1" applyFont="1" applyFill="1" applyBorder="1" applyAlignment="1">
      <alignment horizontal="center" vertical="center"/>
    </xf>
    <xf numFmtId="0" fontId="186" fillId="43" borderId="66" xfId="0" applyFont="1" applyFill="1" applyBorder="1" applyAlignment="1">
      <alignment horizontal="center" vertical="center"/>
    </xf>
    <xf numFmtId="176" fontId="186" fillId="42" borderId="35" xfId="0" applyNumberFormat="1" applyFont="1" applyFill="1" applyBorder="1" applyAlignment="1">
      <alignment horizontal="center" vertical="center"/>
    </xf>
    <xf numFmtId="176" fontId="185" fillId="41" borderId="8" xfId="0" applyNumberFormat="1" applyFont="1" applyFill="1" applyBorder="1" applyAlignment="1">
      <alignment horizontal="center" vertical="center"/>
    </xf>
    <xf numFmtId="168" fontId="186" fillId="47" borderId="66" xfId="0" applyNumberFormat="1" applyFont="1" applyFill="1" applyBorder="1"/>
    <xf numFmtId="176" fontId="185" fillId="41" borderId="54" xfId="11177" applyNumberFormat="1" applyFont="1" applyFill="1" applyBorder="1" applyAlignment="1">
      <alignment horizontal="center" vertical="center"/>
    </xf>
    <xf numFmtId="177" fontId="0" fillId="0" borderId="0" xfId="0" applyNumberFormat="1"/>
    <xf numFmtId="177" fontId="0" fillId="37" borderId="3" xfId="0" applyNumberFormat="1" applyFill="1" applyBorder="1"/>
    <xf numFmtId="177" fontId="0" fillId="37" borderId="4" xfId="0" applyNumberFormat="1" applyFill="1" applyBorder="1"/>
    <xf numFmtId="177" fontId="153" fillId="37" borderId="3" xfId="0" applyNumberFormat="1" applyFont="1" applyFill="1" applyBorder="1"/>
    <xf numFmtId="177" fontId="153" fillId="37" borderId="4" xfId="0" applyNumberFormat="1" applyFont="1" applyFill="1" applyBorder="1"/>
    <xf numFmtId="177" fontId="0" fillId="37" borderId="5" xfId="0" applyNumberFormat="1" applyFill="1" applyBorder="1"/>
    <xf numFmtId="177" fontId="0" fillId="37" borderId="6" xfId="0" applyNumberFormat="1" applyFill="1" applyBorder="1"/>
    <xf numFmtId="177" fontId="192" fillId="37" borderId="7" xfId="0" applyNumberFormat="1" applyFont="1" applyFill="1" applyBorder="1" applyAlignment="1">
      <alignment horizontal="right"/>
    </xf>
    <xf numFmtId="177" fontId="0" fillId="37" borderId="8" xfId="0" applyNumberFormat="1" applyFill="1" applyBorder="1"/>
    <xf numFmtId="177" fontId="0" fillId="0" borderId="0" xfId="0" applyNumberFormat="1" applyFill="1"/>
    <xf numFmtId="177" fontId="0" fillId="0" borderId="0" xfId="11177" applyNumberFormat="1" applyFont="1" applyFill="1"/>
    <xf numFmtId="177" fontId="0" fillId="0" borderId="0" xfId="0" applyNumberFormat="1" applyBorder="1"/>
    <xf numFmtId="177" fontId="153" fillId="0" borderId="0" xfId="0" applyNumberFormat="1" applyFont="1" applyFill="1" applyBorder="1"/>
    <xf numFmtId="177" fontId="0" fillId="0" borderId="0" xfId="0" applyNumberFormat="1" applyFill="1" applyBorder="1"/>
    <xf numFmtId="174" fontId="200" fillId="37" borderId="71" xfId="0" applyNumberFormat="1" applyFont="1" applyFill="1" applyBorder="1" applyAlignment="1" applyProtection="1">
      <alignment vertical="center"/>
      <protection locked="0"/>
    </xf>
    <xf numFmtId="0" fontId="203" fillId="42" borderId="37" xfId="0" applyFont="1" applyFill="1" applyBorder="1"/>
    <xf numFmtId="176" fontId="186" fillId="43" borderId="68" xfId="0" applyNumberFormat="1" applyFont="1" applyFill="1" applyBorder="1" applyAlignment="1">
      <alignment horizontal="center" vertical="center"/>
    </xf>
    <xf numFmtId="176" fontId="186" fillId="43" borderId="69" xfId="0" applyNumberFormat="1" applyFont="1" applyFill="1" applyBorder="1" applyAlignment="1">
      <alignment horizontal="center" vertical="center"/>
    </xf>
    <xf numFmtId="176" fontId="186" fillId="43" borderId="70" xfId="0" applyNumberFormat="1" applyFont="1" applyFill="1" applyBorder="1" applyAlignment="1">
      <alignment horizontal="center" vertical="center"/>
    </xf>
    <xf numFmtId="176" fontId="187" fillId="50" borderId="59" xfId="0" applyNumberFormat="1" applyFont="1" applyFill="1" applyBorder="1" applyAlignment="1">
      <alignment horizontal="center" vertical="top" wrapText="1"/>
    </xf>
    <xf numFmtId="176" fontId="187" fillId="50" borderId="62" xfId="0" applyNumberFormat="1" applyFont="1" applyFill="1" applyBorder="1" applyAlignment="1">
      <alignment horizontal="center" vertical="top" wrapText="1"/>
    </xf>
    <xf numFmtId="14" fontId="153" fillId="37" borderId="14" xfId="0" quotePrefix="1" applyNumberFormat="1" applyFont="1" applyFill="1" applyBorder="1" applyAlignment="1">
      <alignment horizontal="center"/>
    </xf>
    <xf numFmtId="14" fontId="153" fillId="37" borderId="15" xfId="0" quotePrefix="1" applyNumberFormat="1" applyFont="1" applyFill="1" applyBorder="1" applyAlignment="1">
      <alignment horizontal="center"/>
    </xf>
    <xf numFmtId="0" fontId="197" fillId="0" borderId="26" xfId="0" applyFont="1" applyFill="1" applyBorder="1" applyAlignment="1" applyProtection="1">
      <alignment horizontal="center" vertical="center"/>
      <protection locked="0"/>
    </xf>
    <xf numFmtId="0" fontId="197" fillId="0" borderId="35" xfId="0" applyFont="1" applyFill="1" applyBorder="1" applyAlignment="1" applyProtection="1">
      <alignment horizontal="center" vertical="center"/>
      <protection locked="0"/>
    </xf>
    <xf numFmtId="0" fontId="197" fillId="0" borderId="34" xfId="0" applyFont="1" applyFill="1" applyBorder="1" applyAlignment="1" applyProtection="1">
      <alignment horizontal="center" vertical="center"/>
      <protection locked="0"/>
    </xf>
    <xf numFmtId="0" fontId="206" fillId="48" borderId="0" xfId="0" applyFont="1" applyFill="1" applyAlignment="1">
      <alignment horizontal="center"/>
    </xf>
    <xf numFmtId="0" fontId="206" fillId="48" borderId="9" xfId="0" applyFont="1" applyFill="1" applyBorder="1" applyAlignment="1">
      <alignment horizontal="center"/>
    </xf>
  </cellXfs>
  <cellStyles count="22352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.mizerska\Desktop\12%20-%20December%2016%20-%20CILT%20International%20Management%20Accounts%20-%20final%20-%20after%20ad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.mizerska\Desktop\Endowment_fund%20&amp;%20Investments%20-%20corr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 Accs "/>
      <sheetName val="Man Accs 31.7.09 (2)"/>
      <sheetName val="Man Accs 31.7.09"/>
      <sheetName val="Man Accs 28.4.09"/>
      <sheetName val="Accruals 04.09"/>
      <sheetName val="Inter-co"/>
      <sheetName val="Balance Sheet"/>
      <sheetName val="TB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/>
        </row>
        <row r="22">
          <cell r="F22"/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Inv 2016 "/>
      <sheetName val="2017"/>
      <sheetName val="Inv 2017"/>
    </sheetNames>
    <sheetDataSet>
      <sheetData sheetId="0"/>
      <sheetData sheetId="1">
        <row r="51">
          <cell r="F51">
            <v>-13766.475899999998</v>
          </cell>
          <cell r="G51">
            <v>3643.4212999999995</v>
          </cell>
          <cell r="H51">
            <v>-47455.629300000001</v>
          </cell>
          <cell r="I51">
            <v>-9566.5340999999989</v>
          </cell>
          <cell r="J51">
            <v>2531.8687</v>
          </cell>
          <cell r="K51">
            <v>-32977.640699999996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113"/>
  <sheetViews>
    <sheetView tabSelected="1" zoomScaleNormal="100" zoomScaleSheetLayoutView="85" workbookViewId="0">
      <selection activeCell="B5" sqref="B5"/>
    </sheetView>
  </sheetViews>
  <sheetFormatPr defaultRowHeight="12.75" customHeight="1" x14ac:dyDescent="0.2"/>
  <cols>
    <col min="1" max="1" width="3" style="160" customWidth="1"/>
    <col min="2" max="2" width="44.85546875" style="80" customWidth="1"/>
    <col min="3" max="9" width="11" style="297" customWidth="1"/>
    <col min="10" max="11" width="10.7109375" style="297" customWidth="1"/>
    <col min="12" max="12" width="10.28515625" style="80" customWidth="1"/>
    <col min="13" max="13" width="40.7109375" style="80" customWidth="1"/>
    <col min="14" max="14" width="10.7109375" style="297" customWidth="1"/>
    <col min="15" max="15" width="10.28515625" style="82" customWidth="1"/>
    <col min="16" max="19" width="10.7109375" style="80" customWidth="1"/>
    <col min="20" max="20" width="11.5703125" style="80" bestFit="1" customWidth="1"/>
    <col min="21" max="27" width="10.7109375" style="80" customWidth="1"/>
    <col min="28" max="28" width="17" style="81" bestFit="1" customWidth="1"/>
    <col min="29" max="29" width="9.140625" style="80" customWidth="1"/>
    <col min="30" max="16384" width="9.140625" style="80"/>
  </cols>
  <sheetData>
    <row r="1" spans="1:30" ht="12.75" customHeight="1" x14ac:dyDescent="0.2">
      <c r="B1" s="159" t="s">
        <v>774</v>
      </c>
      <c r="C1" s="251"/>
      <c r="D1" s="251"/>
      <c r="E1" s="345"/>
      <c r="F1" s="345"/>
      <c r="G1" s="345"/>
      <c r="H1" s="345"/>
      <c r="I1" s="345"/>
      <c r="J1" s="256"/>
      <c r="K1" s="256"/>
      <c r="L1" s="160"/>
      <c r="M1" s="160"/>
      <c r="N1" s="256"/>
      <c r="O1" s="159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1"/>
      <c r="AC1" s="160"/>
      <c r="AD1" s="85"/>
    </row>
    <row r="2" spans="1:30" ht="12.75" customHeight="1" x14ac:dyDescent="0.25">
      <c r="B2" s="168" t="s">
        <v>986</v>
      </c>
      <c r="C2" s="251" t="s">
        <v>1031</v>
      </c>
      <c r="D2" s="251">
        <v>10</v>
      </c>
      <c r="E2" s="345"/>
      <c r="F2" s="345"/>
      <c r="G2" s="345"/>
      <c r="H2" s="345"/>
      <c r="I2" s="345"/>
      <c r="J2" s="256"/>
      <c r="K2" s="256"/>
      <c r="L2" s="160"/>
      <c r="M2" s="179"/>
      <c r="N2" s="256"/>
      <c r="O2" s="159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1"/>
      <c r="AC2" s="160"/>
      <c r="AD2" s="85"/>
    </row>
    <row r="3" spans="1:30" ht="12.75" customHeight="1" thickBot="1" x14ac:dyDescent="0.25">
      <c r="B3" s="368">
        <v>43039</v>
      </c>
      <c r="C3" s="345"/>
      <c r="D3" s="345"/>
      <c r="E3" s="345"/>
      <c r="F3" s="345"/>
      <c r="G3" s="345"/>
      <c r="H3" s="345"/>
      <c r="I3" s="345"/>
      <c r="J3" s="332"/>
      <c r="K3" s="332"/>
      <c r="L3" s="160"/>
      <c r="M3" s="179"/>
      <c r="N3" s="332"/>
      <c r="O3" s="159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1"/>
      <c r="AC3" s="160"/>
      <c r="AD3" s="85"/>
    </row>
    <row r="4" spans="1:30" ht="12.75" customHeight="1" thickBot="1" x14ac:dyDescent="0.25">
      <c r="B4" s="159"/>
      <c r="C4" s="397" t="s">
        <v>1074</v>
      </c>
      <c r="D4" s="398"/>
      <c r="E4" s="399"/>
      <c r="F4" s="397" t="s">
        <v>964</v>
      </c>
      <c r="G4" s="398"/>
      <c r="H4" s="399"/>
      <c r="I4" s="374" t="s">
        <v>1009</v>
      </c>
      <c r="J4" s="400" t="s">
        <v>1072</v>
      </c>
      <c r="K4" s="400" t="s">
        <v>1075</v>
      </c>
      <c r="L4" s="160"/>
      <c r="M4" s="376" t="s">
        <v>994</v>
      </c>
      <c r="N4" s="375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9"/>
      <c r="AD4" s="85"/>
    </row>
    <row r="5" spans="1:30" s="84" customFormat="1" ht="26.25" thickBot="1" x14ac:dyDescent="0.25">
      <c r="A5" s="180"/>
      <c r="B5" s="225"/>
      <c r="C5" s="252" t="s">
        <v>1008</v>
      </c>
      <c r="D5" s="253" t="s">
        <v>976</v>
      </c>
      <c r="E5" s="254" t="s">
        <v>1009</v>
      </c>
      <c r="F5" s="252" t="s">
        <v>1008</v>
      </c>
      <c r="G5" s="253" t="s">
        <v>976</v>
      </c>
      <c r="H5" s="254" t="s">
        <v>1009</v>
      </c>
      <c r="I5" s="254" t="s">
        <v>1009</v>
      </c>
      <c r="J5" s="401"/>
      <c r="K5" s="401"/>
      <c r="L5" s="180"/>
      <c r="M5" s="206"/>
      <c r="N5" s="333" t="s">
        <v>1072</v>
      </c>
      <c r="O5" s="195" t="s">
        <v>999</v>
      </c>
      <c r="P5" s="182">
        <v>42736</v>
      </c>
      <c r="Q5" s="182">
        <v>42767</v>
      </c>
      <c r="R5" s="182">
        <v>42795</v>
      </c>
      <c r="S5" s="182">
        <v>42826</v>
      </c>
      <c r="T5" s="182">
        <v>42856</v>
      </c>
      <c r="U5" s="182">
        <v>42887</v>
      </c>
      <c r="V5" s="182">
        <v>42917</v>
      </c>
      <c r="W5" s="182">
        <v>42948</v>
      </c>
      <c r="X5" s="182">
        <v>42979</v>
      </c>
      <c r="Y5" s="182">
        <v>43009</v>
      </c>
      <c r="Z5" s="182">
        <v>43040</v>
      </c>
      <c r="AA5" s="182">
        <v>43070</v>
      </c>
      <c r="AB5" s="330" t="s">
        <v>995</v>
      </c>
      <c r="AC5" s="331"/>
      <c r="AD5" s="154"/>
    </row>
    <row r="6" spans="1:30" ht="12.75" customHeight="1" x14ac:dyDescent="0.2">
      <c r="B6" s="183" t="s">
        <v>1044</v>
      </c>
      <c r="C6" s="257"/>
      <c r="D6" s="258"/>
      <c r="E6" s="259"/>
      <c r="F6" s="257"/>
      <c r="G6" s="258"/>
      <c r="H6" s="259"/>
      <c r="I6" s="259"/>
      <c r="J6" s="259"/>
      <c r="K6" s="259"/>
      <c r="L6" s="160"/>
      <c r="M6" s="211" t="s">
        <v>1044</v>
      </c>
      <c r="N6" s="259"/>
      <c r="O6" s="198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89" t="b">
        <f>AB6=O6</f>
        <v>1</v>
      </c>
      <c r="AD6" s="85"/>
    </row>
    <row r="7" spans="1:30" ht="12.75" customHeight="1" x14ac:dyDescent="0.2">
      <c r="B7" s="186" t="s">
        <v>775</v>
      </c>
      <c r="C7" s="260">
        <f>-('TB (2) - October'!D46+'TB (2) - October'!D49)</f>
        <v>30770</v>
      </c>
      <c r="D7" s="261">
        <f>+C7-E7</f>
        <v>1603.3333333333321</v>
      </c>
      <c r="E7" s="262">
        <f>P7</f>
        <v>29166.666666666668</v>
      </c>
      <c r="F7" s="260">
        <f>-TB!D49</f>
        <v>308332.01</v>
      </c>
      <c r="G7" s="261">
        <f>+F7-H7</f>
        <v>16665.340000000026</v>
      </c>
      <c r="H7" s="262">
        <f>ROUND(SUMIF($P$5:$AA$5,"&lt;="&amp;$B$3,P7:AA7),2)</f>
        <v>291666.67</v>
      </c>
      <c r="I7" s="262">
        <v>350000</v>
      </c>
      <c r="J7" s="334">
        <v>360000.41000000003</v>
      </c>
      <c r="K7" s="334">
        <f>J7-I7</f>
        <v>10000.410000000033</v>
      </c>
      <c r="L7" s="160"/>
      <c r="M7" s="210" t="s">
        <v>775</v>
      </c>
      <c r="N7" s="334">
        <v>360000.41000000003</v>
      </c>
      <c r="O7" s="196">
        <v>350000</v>
      </c>
      <c r="P7" s="163">
        <f t="shared" ref="P7:AA7" si="0">$O7/12</f>
        <v>29166.666666666668</v>
      </c>
      <c r="Q7" s="163">
        <f t="shared" si="0"/>
        <v>29166.666666666668</v>
      </c>
      <c r="R7" s="163">
        <f t="shared" si="0"/>
        <v>29166.666666666668</v>
      </c>
      <c r="S7" s="163">
        <f t="shared" si="0"/>
        <v>29166.666666666668</v>
      </c>
      <c r="T7" s="163">
        <f t="shared" si="0"/>
        <v>29166.666666666668</v>
      </c>
      <c r="U7" s="163">
        <f t="shared" si="0"/>
        <v>29166.666666666668</v>
      </c>
      <c r="V7" s="163">
        <f t="shared" si="0"/>
        <v>29166.666666666668</v>
      </c>
      <c r="W7" s="163">
        <f t="shared" si="0"/>
        <v>29166.666666666668</v>
      </c>
      <c r="X7" s="163">
        <f t="shared" si="0"/>
        <v>29166.666666666668</v>
      </c>
      <c r="Y7" s="163">
        <f t="shared" si="0"/>
        <v>29166.666666666668</v>
      </c>
      <c r="Z7" s="163">
        <f t="shared" si="0"/>
        <v>29166.666666666668</v>
      </c>
      <c r="AA7" s="163">
        <f t="shared" si="0"/>
        <v>29166.666666666668</v>
      </c>
      <c r="AB7" s="163">
        <f>SUM(P7:AA7)</f>
        <v>350000.00000000006</v>
      </c>
      <c r="AC7" s="190" t="b">
        <f>AB7=O7</f>
        <v>1</v>
      </c>
      <c r="AD7" s="85"/>
    </row>
    <row r="8" spans="1:30" ht="12.75" customHeight="1" x14ac:dyDescent="0.2">
      <c r="B8" s="186" t="s">
        <v>1073</v>
      </c>
      <c r="C8" s="369">
        <f>'TB (2) - October'!D46</f>
        <v>0</v>
      </c>
      <c r="D8" s="261">
        <f>+C8-E8</f>
        <v>0</v>
      </c>
      <c r="E8" s="370">
        <v>0</v>
      </c>
      <c r="F8" s="369">
        <f>-TB!D46</f>
        <v>13408</v>
      </c>
      <c r="G8" s="261">
        <f>+F8-H8</f>
        <v>13408</v>
      </c>
      <c r="H8" s="370">
        <v>0</v>
      </c>
      <c r="I8" s="370">
        <v>0</v>
      </c>
      <c r="J8" s="371">
        <v>0</v>
      </c>
      <c r="K8" s="371">
        <f>J8-I8</f>
        <v>0</v>
      </c>
      <c r="L8" s="160"/>
      <c r="M8" s="210"/>
      <c r="N8" s="371">
        <v>0</v>
      </c>
      <c r="O8" s="372">
        <v>0</v>
      </c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238"/>
      <c r="AD8" s="85"/>
    </row>
    <row r="9" spans="1:30" ht="12.75" customHeight="1" thickBot="1" x14ac:dyDescent="0.25">
      <c r="B9" s="183" t="s">
        <v>1046</v>
      </c>
      <c r="C9" s="263">
        <f>SUM(C7:C8)</f>
        <v>30770</v>
      </c>
      <c r="D9" s="264">
        <f>+C9-E9</f>
        <v>1603.3333333333321</v>
      </c>
      <c r="E9" s="265">
        <f>SUM(E7:E8)</f>
        <v>29166.666666666668</v>
      </c>
      <c r="F9" s="263">
        <f>SUM(F7:F8)</f>
        <v>321740.01</v>
      </c>
      <c r="G9" s="264">
        <f>+F9-H9</f>
        <v>30073.340000000026</v>
      </c>
      <c r="H9" s="265">
        <f>SUM(H7:H8)</f>
        <v>291666.67</v>
      </c>
      <c r="I9" s="265">
        <f>SUM(I7:I8)</f>
        <v>350000</v>
      </c>
      <c r="J9" s="265">
        <v>360000.41000000003</v>
      </c>
      <c r="K9" s="265">
        <f>J9-I9</f>
        <v>10000.410000000033</v>
      </c>
      <c r="L9" s="160"/>
      <c r="M9" s="211" t="s">
        <v>1046</v>
      </c>
      <c r="N9" s="265">
        <v>360000.41000000003</v>
      </c>
      <c r="O9" s="218">
        <f>SUM(O7)</f>
        <v>350000</v>
      </c>
      <c r="P9" s="219">
        <f t="shared" ref="P9:AB9" si="1">SUM(P7)</f>
        <v>29166.666666666668</v>
      </c>
      <c r="Q9" s="219">
        <f t="shared" si="1"/>
        <v>29166.666666666668</v>
      </c>
      <c r="R9" s="219">
        <f t="shared" si="1"/>
        <v>29166.666666666668</v>
      </c>
      <c r="S9" s="219">
        <f t="shared" si="1"/>
        <v>29166.666666666668</v>
      </c>
      <c r="T9" s="219">
        <f t="shared" si="1"/>
        <v>29166.666666666668</v>
      </c>
      <c r="U9" s="219">
        <f t="shared" si="1"/>
        <v>29166.666666666668</v>
      </c>
      <c r="V9" s="219">
        <f t="shared" si="1"/>
        <v>29166.666666666668</v>
      </c>
      <c r="W9" s="219">
        <f t="shared" si="1"/>
        <v>29166.666666666668</v>
      </c>
      <c r="X9" s="219">
        <f t="shared" si="1"/>
        <v>29166.666666666668</v>
      </c>
      <c r="Y9" s="219">
        <f t="shared" si="1"/>
        <v>29166.666666666668</v>
      </c>
      <c r="Z9" s="219">
        <f t="shared" si="1"/>
        <v>29166.666666666668</v>
      </c>
      <c r="AA9" s="219">
        <f t="shared" si="1"/>
        <v>29166.666666666668</v>
      </c>
      <c r="AB9" s="219">
        <f t="shared" si="1"/>
        <v>350000.00000000006</v>
      </c>
      <c r="AC9" s="220" t="b">
        <f>AB9=O9</f>
        <v>1</v>
      </c>
      <c r="AD9" s="85"/>
    </row>
    <row r="10" spans="1:30" s="157" customFormat="1" ht="21.75" customHeight="1" thickBot="1" x14ac:dyDescent="0.35">
      <c r="A10" s="162"/>
      <c r="B10" s="358"/>
      <c r="C10" s="266"/>
      <c r="D10" s="266"/>
      <c r="E10" s="267"/>
      <c r="F10" s="266"/>
      <c r="G10" s="266"/>
      <c r="H10" s="267"/>
      <c r="I10" s="267"/>
      <c r="J10" s="335"/>
      <c r="K10" s="335"/>
      <c r="L10" s="162"/>
      <c r="M10" s="358"/>
      <c r="N10" s="335"/>
      <c r="O10" s="234"/>
      <c r="P10" s="226"/>
      <c r="Q10" s="226"/>
      <c r="R10" s="226"/>
      <c r="S10" s="226"/>
      <c r="T10" s="226"/>
      <c r="U10" s="226"/>
      <c r="V10" s="226"/>
      <c r="W10" s="235"/>
      <c r="X10" s="226"/>
      <c r="Y10" s="226"/>
      <c r="Z10" s="226"/>
      <c r="AA10" s="226"/>
      <c r="AB10" s="226"/>
      <c r="AC10" s="227"/>
      <c r="AD10" s="156"/>
    </row>
    <row r="11" spans="1:30" ht="12.75" customHeight="1" x14ac:dyDescent="0.2">
      <c r="B11" s="183" t="s">
        <v>1045</v>
      </c>
      <c r="C11" s="268"/>
      <c r="D11" s="269"/>
      <c r="E11" s="270"/>
      <c r="F11" s="268"/>
      <c r="G11" s="269"/>
      <c r="H11" s="270"/>
      <c r="I11" s="270"/>
      <c r="J11" s="270"/>
      <c r="K11" s="270"/>
      <c r="L11" s="160"/>
      <c r="M11" s="211" t="s">
        <v>1045</v>
      </c>
      <c r="N11" s="270"/>
      <c r="O11" s="228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30"/>
      <c r="AD11" s="85"/>
    </row>
    <row r="12" spans="1:30" ht="12.75" customHeight="1" x14ac:dyDescent="0.2">
      <c r="B12" s="187" t="s">
        <v>1032</v>
      </c>
      <c r="C12" s="271"/>
      <c r="D12" s="261"/>
      <c r="E12" s="272"/>
      <c r="F12" s="271"/>
      <c r="G12" s="261"/>
      <c r="H12" s="272"/>
      <c r="I12" s="272"/>
      <c r="J12" s="336"/>
      <c r="K12" s="336"/>
      <c r="L12" s="160"/>
      <c r="M12" s="213" t="s">
        <v>1032</v>
      </c>
      <c r="N12" s="336"/>
      <c r="O12" s="20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63"/>
      <c r="AC12" s="192"/>
      <c r="AD12" s="85"/>
    </row>
    <row r="13" spans="1:30" ht="12.75" customHeight="1" x14ac:dyDescent="0.2">
      <c r="B13" s="186" t="s">
        <v>928</v>
      </c>
      <c r="C13" s="260">
        <f>-'TB (2) - October'!D73-'TB (2) - October'!D74-'TB (2) - October'!D94-'TB (2) - October'!D115-'TB (2) - October'!D62</f>
        <v>-2902.49</v>
      </c>
      <c r="D13" s="261">
        <f>+C13-E13</f>
        <v>2930.8433333333332</v>
      </c>
      <c r="E13" s="262">
        <f>U13</f>
        <v>-5833.333333333333</v>
      </c>
      <c r="F13" s="260">
        <f>-TB!D73-TB!D74-TB!D94-TB!D115-TB!D62</f>
        <v>-60338.969999999994</v>
      </c>
      <c r="G13" s="261">
        <f>+F13-H13</f>
        <v>-2005.6399999999921</v>
      </c>
      <c r="H13" s="262">
        <f>ROUND(SUMIF($P$5:$AA$5,"&lt;="&amp;$B$3,P13:AA13),2)</f>
        <v>-58333.33</v>
      </c>
      <c r="I13" s="262">
        <v>-70000</v>
      </c>
      <c r="J13" s="334">
        <v>-69999.66</v>
      </c>
      <c r="K13" s="334">
        <f>J13-I13</f>
        <v>0.33999999999650754</v>
      </c>
      <c r="L13" s="160"/>
      <c r="M13" s="210" t="s">
        <v>928</v>
      </c>
      <c r="N13" s="334">
        <v>-69999.66</v>
      </c>
      <c r="O13" s="202">
        <v>-70000</v>
      </c>
      <c r="P13" s="171">
        <f t="shared" ref="P13:AA13" si="2">$O13/12</f>
        <v>-5833.333333333333</v>
      </c>
      <c r="Q13" s="171">
        <f t="shared" si="2"/>
        <v>-5833.333333333333</v>
      </c>
      <c r="R13" s="171">
        <f t="shared" si="2"/>
        <v>-5833.333333333333</v>
      </c>
      <c r="S13" s="171">
        <f t="shared" si="2"/>
        <v>-5833.333333333333</v>
      </c>
      <c r="T13" s="171">
        <f t="shared" si="2"/>
        <v>-5833.333333333333</v>
      </c>
      <c r="U13" s="171">
        <f t="shared" si="2"/>
        <v>-5833.333333333333</v>
      </c>
      <c r="V13" s="171">
        <f t="shared" si="2"/>
        <v>-5833.333333333333</v>
      </c>
      <c r="W13" s="171">
        <f t="shared" si="2"/>
        <v>-5833.333333333333</v>
      </c>
      <c r="X13" s="171">
        <f t="shared" si="2"/>
        <v>-5833.333333333333</v>
      </c>
      <c r="Y13" s="171">
        <f t="shared" si="2"/>
        <v>-5833.333333333333</v>
      </c>
      <c r="Z13" s="171">
        <f t="shared" si="2"/>
        <v>-5833.333333333333</v>
      </c>
      <c r="AA13" s="171">
        <f t="shared" si="2"/>
        <v>-5833.333333333333</v>
      </c>
      <c r="AB13" s="163">
        <f>SUM(P13:AA13)</f>
        <v>-70000.000000000015</v>
      </c>
      <c r="AC13" s="192" t="b">
        <f>AB13=O13</f>
        <v>1</v>
      </c>
      <c r="AD13" s="85"/>
    </row>
    <row r="14" spans="1:30" ht="14.25" customHeight="1" x14ac:dyDescent="0.2">
      <c r="B14" s="187"/>
      <c r="C14" s="260"/>
      <c r="D14" s="261"/>
      <c r="E14" s="272"/>
      <c r="F14" s="271"/>
      <c r="G14" s="261"/>
      <c r="H14" s="272"/>
      <c r="I14" s="272"/>
      <c r="J14" s="336"/>
      <c r="K14" s="336"/>
      <c r="L14" s="160"/>
      <c r="M14" s="213"/>
      <c r="N14" s="336"/>
      <c r="O14" s="20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63"/>
      <c r="AC14" s="191"/>
      <c r="AD14" s="85"/>
    </row>
    <row r="15" spans="1:30" ht="12.75" customHeight="1" x14ac:dyDescent="0.2">
      <c r="B15" s="187" t="s">
        <v>1033</v>
      </c>
      <c r="C15" s="260"/>
      <c r="D15" s="261"/>
      <c r="E15" s="272"/>
      <c r="F15" s="271"/>
      <c r="G15" s="261"/>
      <c r="H15" s="272"/>
      <c r="I15" s="272"/>
      <c r="J15" s="336"/>
      <c r="K15" s="336"/>
      <c r="L15" s="160"/>
      <c r="M15" s="213"/>
      <c r="N15" s="336"/>
      <c r="O15" s="20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63"/>
      <c r="AC15" s="191"/>
      <c r="AD15" s="85"/>
    </row>
    <row r="16" spans="1:30" ht="12.75" customHeight="1" x14ac:dyDescent="0.2">
      <c r="B16" s="186" t="s">
        <v>784</v>
      </c>
      <c r="C16" s="260">
        <f>-'TB (2) - October'!D69-'TB (2) - October'!D75</f>
        <v>-450</v>
      </c>
      <c r="D16" s="261">
        <f>+C16-E16</f>
        <v>-33.333333333333314</v>
      </c>
      <c r="E16" s="262">
        <f>S16</f>
        <v>-416.66666666666669</v>
      </c>
      <c r="F16" s="260">
        <f>-TB!D69-TB!D75</f>
        <v>-14213.099999999999</v>
      </c>
      <c r="G16" s="261">
        <f>+F16-H16</f>
        <v>-10046.429999999998</v>
      </c>
      <c r="H16" s="262">
        <f>ROUND(SUMIF($P$5:$AA$5,"&lt;="&amp;$B$3,P16:AA16),2)</f>
        <v>-4166.67</v>
      </c>
      <c r="I16" s="262">
        <v>-5000</v>
      </c>
      <c r="J16" s="334">
        <v>-14999.600000000002</v>
      </c>
      <c r="K16" s="334">
        <f>J16-I16</f>
        <v>-9999.6000000000022</v>
      </c>
      <c r="L16" s="160"/>
      <c r="M16" s="210" t="s">
        <v>784</v>
      </c>
      <c r="N16" s="334">
        <v>-14999.600000000002</v>
      </c>
      <c r="O16" s="202">
        <v>-5000</v>
      </c>
      <c r="P16" s="171">
        <f t="shared" ref="P16:AA17" si="3">$O16/12</f>
        <v>-416.66666666666669</v>
      </c>
      <c r="Q16" s="171">
        <f t="shared" si="3"/>
        <v>-416.66666666666669</v>
      </c>
      <c r="R16" s="171">
        <f t="shared" si="3"/>
        <v>-416.66666666666669</v>
      </c>
      <c r="S16" s="171">
        <f t="shared" si="3"/>
        <v>-416.66666666666669</v>
      </c>
      <c r="T16" s="171">
        <f t="shared" si="3"/>
        <v>-416.66666666666669</v>
      </c>
      <c r="U16" s="171">
        <f t="shared" si="3"/>
        <v>-416.66666666666669</v>
      </c>
      <c r="V16" s="171">
        <f t="shared" si="3"/>
        <v>-416.66666666666669</v>
      </c>
      <c r="W16" s="171">
        <f t="shared" si="3"/>
        <v>-416.66666666666669</v>
      </c>
      <c r="X16" s="171">
        <f t="shared" si="3"/>
        <v>-416.66666666666669</v>
      </c>
      <c r="Y16" s="171">
        <f t="shared" si="3"/>
        <v>-416.66666666666669</v>
      </c>
      <c r="Z16" s="171">
        <f t="shared" si="3"/>
        <v>-416.66666666666669</v>
      </c>
      <c r="AA16" s="171">
        <f t="shared" si="3"/>
        <v>-416.66666666666669</v>
      </c>
      <c r="AB16" s="163">
        <f>SUM(P16:AA16)</f>
        <v>-5000</v>
      </c>
      <c r="AC16" s="191" t="b">
        <f>AB16=O16</f>
        <v>1</v>
      </c>
      <c r="AD16" s="85"/>
    </row>
    <row r="17" spans="1:30" ht="12.75" customHeight="1" x14ac:dyDescent="0.2">
      <c r="B17" s="186" t="s">
        <v>962</v>
      </c>
      <c r="C17" s="260">
        <f>-'TB (2) - October'!D78</f>
        <v>-19022</v>
      </c>
      <c r="D17" s="261">
        <f>+C17-E17</f>
        <v>-14855.333333333332</v>
      </c>
      <c r="E17" s="262">
        <f>S17</f>
        <v>-4166.666666666667</v>
      </c>
      <c r="F17" s="260">
        <f>-TB!D78</f>
        <v>-69022</v>
      </c>
      <c r="G17" s="261">
        <f>+F17-H17</f>
        <v>-19022</v>
      </c>
      <c r="H17" s="262">
        <f>O17</f>
        <v>-50000</v>
      </c>
      <c r="I17" s="262">
        <v>-50000</v>
      </c>
      <c r="J17" s="334">
        <v>-50000</v>
      </c>
      <c r="K17" s="334">
        <f>J17-I17</f>
        <v>0</v>
      </c>
      <c r="L17" s="160"/>
      <c r="M17" s="210" t="s">
        <v>962</v>
      </c>
      <c r="N17" s="334">
        <v>-50000</v>
      </c>
      <c r="O17" s="202">
        <v>-50000</v>
      </c>
      <c r="P17" s="171">
        <f t="shared" si="3"/>
        <v>-4166.666666666667</v>
      </c>
      <c r="Q17" s="171">
        <f t="shared" si="3"/>
        <v>-4166.666666666667</v>
      </c>
      <c r="R17" s="171">
        <f t="shared" si="3"/>
        <v>-4166.666666666667</v>
      </c>
      <c r="S17" s="171">
        <f t="shared" si="3"/>
        <v>-4166.666666666667</v>
      </c>
      <c r="T17" s="171">
        <f t="shared" si="3"/>
        <v>-4166.666666666667</v>
      </c>
      <c r="U17" s="171">
        <f t="shared" si="3"/>
        <v>-4166.666666666667</v>
      </c>
      <c r="V17" s="171">
        <f t="shared" si="3"/>
        <v>-4166.666666666667</v>
      </c>
      <c r="W17" s="171">
        <f t="shared" si="3"/>
        <v>-4166.666666666667</v>
      </c>
      <c r="X17" s="171">
        <f t="shared" si="3"/>
        <v>-4166.666666666667</v>
      </c>
      <c r="Y17" s="171">
        <f t="shared" si="3"/>
        <v>-4166.666666666667</v>
      </c>
      <c r="Z17" s="171">
        <f t="shared" si="3"/>
        <v>-4166.666666666667</v>
      </c>
      <c r="AA17" s="171">
        <f t="shared" si="3"/>
        <v>-4166.666666666667</v>
      </c>
      <c r="AB17" s="163">
        <f>SUM(P17:AA17)</f>
        <v>-49999.999999999993</v>
      </c>
      <c r="AC17" s="191" t="b">
        <f>AB17=O17</f>
        <v>1</v>
      </c>
      <c r="AD17" s="85"/>
    </row>
    <row r="18" spans="1:30" ht="12" customHeight="1" x14ac:dyDescent="0.2">
      <c r="B18" s="187"/>
      <c r="C18" s="260"/>
      <c r="D18" s="261"/>
      <c r="E18" s="272"/>
      <c r="F18" s="271"/>
      <c r="G18" s="261"/>
      <c r="H18" s="272"/>
      <c r="I18" s="272"/>
      <c r="J18" s="336"/>
      <c r="K18" s="336"/>
      <c r="L18" s="160"/>
      <c r="M18" s="213"/>
      <c r="N18" s="336"/>
      <c r="O18" s="20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63"/>
      <c r="AC18" s="191"/>
      <c r="AD18" s="85"/>
    </row>
    <row r="19" spans="1:30" ht="12.75" customHeight="1" x14ac:dyDescent="0.2">
      <c r="B19" s="187" t="s">
        <v>739</v>
      </c>
      <c r="C19" s="260"/>
      <c r="D19" s="261"/>
      <c r="E19" s="272"/>
      <c r="F19" s="271"/>
      <c r="G19" s="261"/>
      <c r="H19" s="272"/>
      <c r="I19" s="272"/>
      <c r="J19" s="336"/>
      <c r="K19" s="336"/>
      <c r="L19" s="160"/>
      <c r="M19" s="213"/>
      <c r="N19" s="336"/>
      <c r="O19" s="20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63"/>
      <c r="AC19" s="191"/>
      <c r="AD19" s="85"/>
    </row>
    <row r="20" spans="1:30" ht="12.75" customHeight="1" x14ac:dyDescent="0.2">
      <c r="B20" s="186" t="s">
        <v>819</v>
      </c>
      <c r="C20" s="260">
        <f>-'TB (2) - October'!D112</f>
        <v>-5459.5</v>
      </c>
      <c r="D20" s="261">
        <f>+C20-E20</f>
        <v>-42.83333333333303</v>
      </c>
      <c r="E20" s="262">
        <f>S20</f>
        <v>-5416.666666666667</v>
      </c>
      <c r="F20" s="260">
        <f>-TB!D112</f>
        <v>-57451</v>
      </c>
      <c r="G20" s="261">
        <f>+F20-H20</f>
        <v>-3284.3300000000017</v>
      </c>
      <c r="H20" s="262">
        <f>ROUND(SUMIF($P$5:$AA$5,"&lt;="&amp;$B$3,P20:AA20),2)</f>
        <v>-54166.67</v>
      </c>
      <c r="I20" s="262">
        <v>-65000</v>
      </c>
      <c r="J20" s="334">
        <v>-64999.5</v>
      </c>
      <c r="K20" s="334">
        <f t="shared" ref="K20:K23" si="4">J20-I20</f>
        <v>0.5</v>
      </c>
      <c r="L20" s="160"/>
      <c r="M20" s="210" t="s">
        <v>819</v>
      </c>
      <c r="N20" s="334">
        <v>-64999.5</v>
      </c>
      <c r="O20" s="202">
        <v>-65000</v>
      </c>
      <c r="P20" s="171">
        <f t="shared" ref="P20:AA22" si="5">$O20/12</f>
        <v>-5416.666666666667</v>
      </c>
      <c r="Q20" s="171">
        <f t="shared" si="5"/>
        <v>-5416.666666666667</v>
      </c>
      <c r="R20" s="171">
        <f t="shared" si="5"/>
        <v>-5416.666666666667</v>
      </c>
      <c r="S20" s="171">
        <f t="shared" si="5"/>
        <v>-5416.666666666667</v>
      </c>
      <c r="T20" s="171">
        <f t="shared" si="5"/>
        <v>-5416.666666666667</v>
      </c>
      <c r="U20" s="171">
        <f t="shared" si="5"/>
        <v>-5416.666666666667</v>
      </c>
      <c r="V20" s="171">
        <f t="shared" si="5"/>
        <v>-5416.666666666667</v>
      </c>
      <c r="W20" s="171">
        <f t="shared" si="5"/>
        <v>-5416.666666666667</v>
      </c>
      <c r="X20" s="171">
        <f t="shared" si="5"/>
        <v>-5416.666666666667</v>
      </c>
      <c r="Y20" s="171">
        <f t="shared" si="5"/>
        <v>-5416.666666666667</v>
      </c>
      <c r="Z20" s="171">
        <f t="shared" si="5"/>
        <v>-5416.666666666667</v>
      </c>
      <c r="AA20" s="171">
        <f t="shared" si="5"/>
        <v>-5416.666666666667</v>
      </c>
      <c r="AB20" s="163">
        <f>SUM(P20:AA20)</f>
        <v>-64999.999999999993</v>
      </c>
      <c r="AC20" s="191" t="b">
        <f>AB20=O20</f>
        <v>1</v>
      </c>
      <c r="AD20" s="85"/>
    </row>
    <row r="21" spans="1:30" ht="12.75" customHeight="1" x14ac:dyDescent="0.2">
      <c r="B21" s="186" t="s">
        <v>820</v>
      </c>
      <c r="C21" s="260">
        <f>-'TB (2) - October'!D113</f>
        <v>-2224.66</v>
      </c>
      <c r="D21" s="261">
        <f>+C21-E21</f>
        <v>-1224.6599999999999</v>
      </c>
      <c r="E21" s="262">
        <f>S21</f>
        <v>-1000</v>
      </c>
      <c r="F21" s="260">
        <f>-TB!D113</f>
        <v>-7809.2199999999993</v>
      </c>
      <c r="G21" s="261">
        <f>+F21-H21</f>
        <v>2190.7800000000007</v>
      </c>
      <c r="H21" s="262">
        <f>ROUND(SUMIF($P$5:$AA$5,"&lt;="&amp;$B$3,P21:AA21),2)</f>
        <v>-10000</v>
      </c>
      <c r="I21" s="262">
        <v>-12000</v>
      </c>
      <c r="J21" s="334">
        <v>-12000.16</v>
      </c>
      <c r="K21" s="334">
        <f t="shared" si="4"/>
        <v>-0.15999999999985448</v>
      </c>
      <c r="L21" s="160"/>
      <c r="M21" s="210" t="s">
        <v>820</v>
      </c>
      <c r="N21" s="334">
        <v>-12000.16</v>
      </c>
      <c r="O21" s="202">
        <v>-12000</v>
      </c>
      <c r="P21" s="171">
        <f t="shared" si="5"/>
        <v>-1000</v>
      </c>
      <c r="Q21" s="171">
        <f t="shared" si="5"/>
        <v>-1000</v>
      </c>
      <c r="R21" s="171">
        <f t="shared" si="5"/>
        <v>-1000</v>
      </c>
      <c r="S21" s="171">
        <f t="shared" si="5"/>
        <v>-1000</v>
      </c>
      <c r="T21" s="171">
        <f t="shared" si="5"/>
        <v>-1000</v>
      </c>
      <c r="U21" s="171">
        <f t="shared" si="5"/>
        <v>-1000</v>
      </c>
      <c r="V21" s="171">
        <f t="shared" si="5"/>
        <v>-1000</v>
      </c>
      <c r="W21" s="171">
        <f t="shared" si="5"/>
        <v>-1000</v>
      </c>
      <c r="X21" s="171">
        <f t="shared" si="5"/>
        <v>-1000</v>
      </c>
      <c r="Y21" s="171">
        <f t="shared" si="5"/>
        <v>-1000</v>
      </c>
      <c r="Z21" s="171">
        <f t="shared" si="5"/>
        <v>-1000</v>
      </c>
      <c r="AA21" s="171">
        <f t="shared" si="5"/>
        <v>-1000</v>
      </c>
      <c r="AB21" s="163">
        <f>SUM(P21:AA21)</f>
        <v>-12000</v>
      </c>
      <c r="AC21" s="191" t="b">
        <f>AB21=O21</f>
        <v>1</v>
      </c>
      <c r="AD21" s="85"/>
    </row>
    <row r="22" spans="1:30" ht="12.75" customHeight="1" x14ac:dyDescent="0.2">
      <c r="B22" s="186" t="s">
        <v>776</v>
      </c>
      <c r="C22" s="260">
        <f>-'TB (2) - October'!D109</f>
        <v>-368.2</v>
      </c>
      <c r="D22" s="261">
        <f>+C22-E22</f>
        <v>1465.1333333333332</v>
      </c>
      <c r="E22" s="262">
        <f>S22</f>
        <v>-1833.3333333333333</v>
      </c>
      <c r="F22" s="260">
        <f>-TB!D109</f>
        <v>-13460.34</v>
      </c>
      <c r="G22" s="261">
        <f>+F22-H22</f>
        <v>4872.9900000000016</v>
      </c>
      <c r="H22" s="262">
        <f>ROUND(SUMIF($P$5:$AA$5,"&lt;="&amp;$B$3,P22:AA22),2)</f>
        <v>-18333.330000000002</v>
      </c>
      <c r="I22" s="262">
        <v>-22000</v>
      </c>
      <c r="J22" s="334">
        <v>-21999.629999999997</v>
      </c>
      <c r="K22" s="334">
        <f t="shared" si="4"/>
        <v>0.37000000000261934</v>
      </c>
      <c r="L22" s="160"/>
      <c r="M22" s="210" t="s">
        <v>776</v>
      </c>
      <c r="N22" s="334">
        <v>-21999.629999999997</v>
      </c>
      <c r="O22" s="202">
        <v>-22000</v>
      </c>
      <c r="P22" s="171">
        <f t="shared" si="5"/>
        <v>-1833.3333333333333</v>
      </c>
      <c r="Q22" s="171">
        <f t="shared" si="5"/>
        <v>-1833.3333333333333</v>
      </c>
      <c r="R22" s="171">
        <f t="shared" si="5"/>
        <v>-1833.3333333333333</v>
      </c>
      <c r="S22" s="171">
        <f t="shared" si="5"/>
        <v>-1833.3333333333333</v>
      </c>
      <c r="T22" s="171">
        <f t="shared" si="5"/>
        <v>-1833.3333333333333</v>
      </c>
      <c r="U22" s="171">
        <f t="shared" si="5"/>
        <v>-1833.3333333333333</v>
      </c>
      <c r="V22" s="171">
        <f t="shared" si="5"/>
        <v>-1833.3333333333333</v>
      </c>
      <c r="W22" s="171">
        <f t="shared" si="5"/>
        <v>-1833.3333333333333</v>
      </c>
      <c r="X22" s="171">
        <f t="shared" si="5"/>
        <v>-1833.3333333333333</v>
      </c>
      <c r="Y22" s="171">
        <f t="shared" si="5"/>
        <v>-1833.3333333333333</v>
      </c>
      <c r="Z22" s="171">
        <f t="shared" si="5"/>
        <v>-1833.3333333333333</v>
      </c>
      <c r="AA22" s="171">
        <f t="shared" si="5"/>
        <v>-1833.3333333333333</v>
      </c>
      <c r="AB22" s="163">
        <f>SUM(P22:AA22)</f>
        <v>-21999.999999999996</v>
      </c>
      <c r="AC22" s="191" t="b">
        <f>AB22=O22</f>
        <v>1</v>
      </c>
      <c r="AD22" s="85"/>
    </row>
    <row r="23" spans="1:30" ht="12.75" customHeight="1" x14ac:dyDescent="0.2">
      <c r="B23" s="186" t="s">
        <v>1041</v>
      </c>
      <c r="C23" s="260">
        <f>ROUND(-27500/12,2)</f>
        <v>-2291.67</v>
      </c>
      <c r="D23" s="261">
        <f>+C23-E23</f>
        <v>-3.3333333335576754E-3</v>
      </c>
      <c r="E23" s="262">
        <f>-27500/12</f>
        <v>-2291.6666666666665</v>
      </c>
      <c r="F23" s="260">
        <f>C23*D2</f>
        <v>-22916.7</v>
      </c>
      <c r="G23" s="261">
        <f>+F23-H23</f>
        <v>-3.0000000002473826E-2</v>
      </c>
      <c r="H23" s="262">
        <f>ROUND(SUMIF($P$5:$AA$5,"&lt;="&amp;$B$3,P23:AA23),2)</f>
        <v>-22916.67</v>
      </c>
      <c r="I23" s="262">
        <f>O23</f>
        <v>-27500</v>
      </c>
      <c r="J23" s="334">
        <v>-27499.666666666664</v>
      </c>
      <c r="K23" s="334">
        <f t="shared" si="4"/>
        <v>0.33333333333575865</v>
      </c>
      <c r="L23" s="160"/>
      <c r="M23" s="210" t="s">
        <v>1041</v>
      </c>
      <c r="N23" s="334">
        <v>-27499.666666666664</v>
      </c>
      <c r="O23" s="202">
        <v>-27500</v>
      </c>
      <c r="P23" s="171">
        <f>O23/12</f>
        <v>-2291.6666666666665</v>
      </c>
      <c r="Q23" s="171">
        <f t="shared" ref="Q23:AA23" si="6">$O23/12</f>
        <v>-2291.6666666666665</v>
      </c>
      <c r="R23" s="171">
        <f t="shared" si="6"/>
        <v>-2291.6666666666665</v>
      </c>
      <c r="S23" s="171">
        <f t="shared" si="6"/>
        <v>-2291.6666666666665</v>
      </c>
      <c r="T23" s="171">
        <f t="shared" si="6"/>
        <v>-2291.6666666666665</v>
      </c>
      <c r="U23" s="171">
        <f t="shared" si="6"/>
        <v>-2291.6666666666665</v>
      </c>
      <c r="V23" s="171">
        <f t="shared" si="6"/>
        <v>-2291.6666666666665</v>
      </c>
      <c r="W23" s="171">
        <f t="shared" si="6"/>
        <v>-2291.6666666666665</v>
      </c>
      <c r="X23" s="171">
        <f t="shared" si="6"/>
        <v>-2291.6666666666665</v>
      </c>
      <c r="Y23" s="171">
        <f t="shared" si="6"/>
        <v>-2291.6666666666665</v>
      </c>
      <c r="Z23" s="171">
        <f t="shared" si="6"/>
        <v>-2291.6666666666665</v>
      </c>
      <c r="AA23" s="171">
        <f t="shared" si="6"/>
        <v>-2291.6666666666665</v>
      </c>
      <c r="AB23" s="163">
        <f>SUM(P23:AA23)</f>
        <v>-27500.000000000004</v>
      </c>
      <c r="AC23" s="191" t="b">
        <f>AB23=O23</f>
        <v>1</v>
      </c>
      <c r="AD23" s="85"/>
    </row>
    <row r="24" spans="1:30" ht="12.75" customHeight="1" thickBot="1" x14ac:dyDescent="0.25">
      <c r="B24" s="241" t="s">
        <v>1047</v>
      </c>
      <c r="C24" s="273">
        <f>SUM(C13:C23)</f>
        <v>-32718.519999999997</v>
      </c>
      <c r="D24" s="274">
        <f>+C24-E24</f>
        <v>-11760.186666666661</v>
      </c>
      <c r="E24" s="273">
        <f>SUM(E13:E23)</f>
        <v>-20958.333333333336</v>
      </c>
      <c r="F24" s="273">
        <f>SUM(F13:F23)</f>
        <v>-245211.33000000002</v>
      </c>
      <c r="G24" s="274">
        <f>+F24-H24</f>
        <v>-27294.660000000033</v>
      </c>
      <c r="H24" s="275">
        <f>SUM(H13:H23)</f>
        <v>-217916.66999999998</v>
      </c>
      <c r="I24" s="275">
        <f>SUM(I13:I23)</f>
        <v>-251500</v>
      </c>
      <c r="J24" s="275">
        <v>-261498.21666666667</v>
      </c>
      <c r="K24" s="275">
        <f>J24-I24</f>
        <v>-9998.2166666666744</v>
      </c>
      <c r="L24" s="160"/>
      <c r="M24" s="242" t="s">
        <v>1047</v>
      </c>
      <c r="N24" s="275">
        <v>-261498.21666666667</v>
      </c>
      <c r="O24" s="243">
        <f>SUM(O13:O23)</f>
        <v>-251500</v>
      </c>
      <c r="P24" s="243">
        <f t="shared" ref="P24:AB24" si="7">SUM(P13:P23)</f>
        <v>-20958.333333333336</v>
      </c>
      <c r="Q24" s="243">
        <f t="shared" si="7"/>
        <v>-20958.333333333336</v>
      </c>
      <c r="R24" s="243">
        <f t="shared" si="7"/>
        <v>-20958.333333333336</v>
      </c>
      <c r="S24" s="243">
        <f t="shared" si="7"/>
        <v>-20958.333333333336</v>
      </c>
      <c r="T24" s="243">
        <f t="shared" si="7"/>
        <v>-20958.333333333336</v>
      </c>
      <c r="U24" s="243">
        <f t="shared" si="7"/>
        <v>-20958.333333333336</v>
      </c>
      <c r="V24" s="243">
        <f t="shared" si="7"/>
        <v>-20958.333333333336</v>
      </c>
      <c r="W24" s="243">
        <f t="shared" si="7"/>
        <v>-20958.333333333336</v>
      </c>
      <c r="X24" s="243">
        <f t="shared" si="7"/>
        <v>-20958.333333333336</v>
      </c>
      <c r="Y24" s="243">
        <f t="shared" si="7"/>
        <v>-20958.333333333336</v>
      </c>
      <c r="Z24" s="243">
        <f t="shared" si="7"/>
        <v>-20958.333333333336</v>
      </c>
      <c r="AA24" s="243">
        <f t="shared" si="7"/>
        <v>-20958.333333333336</v>
      </c>
      <c r="AB24" s="243">
        <f t="shared" si="7"/>
        <v>-251500</v>
      </c>
      <c r="AC24" s="244" t="b">
        <f>AB24=O24</f>
        <v>1</v>
      </c>
      <c r="AD24" s="85"/>
    </row>
    <row r="25" spans="1:30" s="157" customFormat="1" ht="21.75" customHeight="1" thickBot="1" x14ac:dyDescent="0.35">
      <c r="A25" s="162"/>
      <c r="B25" s="358"/>
      <c r="C25" s="276"/>
      <c r="D25" s="276"/>
      <c r="E25" s="377"/>
      <c r="F25" s="276"/>
      <c r="G25" s="276"/>
      <c r="H25" s="277"/>
      <c r="I25" s="277"/>
      <c r="J25" s="361"/>
      <c r="K25" s="361"/>
      <c r="L25" s="162"/>
      <c r="M25" s="358"/>
      <c r="N25" s="361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4"/>
      <c r="AD25" s="221"/>
    </row>
    <row r="26" spans="1:30" ht="12.75" customHeight="1" thickBot="1" x14ac:dyDescent="0.25">
      <c r="B26" s="379" t="s">
        <v>1048</v>
      </c>
      <c r="C26" s="255">
        <f>C9+C24</f>
        <v>-1948.5199999999968</v>
      </c>
      <c r="D26" s="255">
        <f>+C26-E26</f>
        <v>-10156.853333333329</v>
      </c>
      <c r="E26" s="326">
        <f>E9+E24</f>
        <v>8208.3333333333321</v>
      </c>
      <c r="F26" s="255">
        <f>F9+F24</f>
        <v>76528.679999999993</v>
      </c>
      <c r="G26" s="255">
        <f>+F26-H26</f>
        <v>2778.679999999993</v>
      </c>
      <c r="H26" s="255">
        <f>H9+H24</f>
        <v>73750</v>
      </c>
      <c r="I26" s="255">
        <f>I9+I24</f>
        <v>98500</v>
      </c>
      <c r="J26" s="341">
        <v>98502.193333333358</v>
      </c>
      <c r="K26" s="341">
        <f>J26-I26</f>
        <v>2.1933333333581686</v>
      </c>
      <c r="L26" s="245"/>
      <c r="M26" s="357" t="s">
        <v>1048</v>
      </c>
      <c r="N26" s="341">
        <v>98502.193333333358</v>
      </c>
      <c r="O26" s="215">
        <f>+O9+O24</f>
        <v>98500</v>
      </c>
      <c r="P26" s="215">
        <f t="shared" ref="P26:AB26" si="8">+P9+P24</f>
        <v>8208.3333333333321</v>
      </c>
      <c r="Q26" s="215">
        <f t="shared" si="8"/>
        <v>8208.3333333333321</v>
      </c>
      <c r="R26" s="215">
        <f t="shared" si="8"/>
        <v>8208.3333333333321</v>
      </c>
      <c r="S26" s="215">
        <f t="shared" si="8"/>
        <v>8208.3333333333321</v>
      </c>
      <c r="T26" s="215">
        <f t="shared" si="8"/>
        <v>8208.3333333333321</v>
      </c>
      <c r="U26" s="215">
        <f t="shared" si="8"/>
        <v>8208.3333333333321</v>
      </c>
      <c r="V26" s="215">
        <f t="shared" si="8"/>
        <v>8208.3333333333321</v>
      </c>
      <c r="W26" s="215">
        <f t="shared" si="8"/>
        <v>8208.3333333333321</v>
      </c>
      <c r="X26" s="215">
        <f t="shared" si="8"/>
        <v>8208.3333333333321</v>
      </c>
      <c r="Y26" s="215">
        <f t="shared" si="8"/>
        <v>8208.3333333333321</v>
      </c>
      <c r="Z26" s="215">
        <f t="shared" si="8"/>
        <v>8208.3333333333321</v>
      </c>
      <c r="AA26" s="215">
        <f t="shared" si="8"/>
        <v>8208.3333333333321</v>
      </c>
      <c r="AB26" s="215">
        <f t="shared" si="8"/>
        <v>98500.000000000058</v>
      </c>
      <c r="AC26" s="216"/>
      <c r="AD26" s="85"/>
    </row>
    <row r="27" spans="1:30" s="157" customFormat="1" ht="21.75" customHeight="1" thickBot="1" x14ac:dyDescent="0.35">
      <c r="A27" s="162"/>
      <c r="B27" s="359"/>
      <c r="C27" s="278"/>
      <c r="D27" s="278"/>
      <c r="E27" s="277"/>
      <c r="F27" s="278"/>
      <c r="G27" s="278"/>
      <c r="H27" s="279"/>
      <c r="I27" s="279"/>
      <c r="J27" s="362"/>
      <c r="K27" s="362"/>
      <c r="L27" s="367"/>
      <c r="M27" s="359"/>
      <c r="N27" s="36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45"/>
      <c r="AD27" s="221"/>
    </row>
    <row r="28" spans="1:30" s="157" customFormat="1" ht="21.75" customHeight="1" thickBot="1" x14ac:dyDescent="0.35">
      <c r="A28" s="162"/>
      <c r="B28" s="360" t="s">
        <v>1051</v>
      </c>
      <c r="C28" s="280"/>
      <c r="D28" s="280"/>
      <c r="E28" s="281"/>
      <c r="F28" s="280"/>
      <c r="G28" s="280"/>
      <c r="H28" s="281"/>
      <c r="I28" s="281"/>
      <c r="J28" s="337"/>
      <c r="K28" s="337"/>
      <c r="L28" s="396"/>
      <c r="M28" s="365" t="s">
        <v>1051</v>
      </c>
      <c r="N28" s="337"/>
      <c r="O28" s="215"/>
      <c r="P28" s="231"/>
      <c r="Q28" s="231"/>
      <c r="R28" s="231"/>
      <c r="S28" s="231"/>
      <c r="T28" s="231"/>
      <c r="U28" s="231"/>
      <c r="V28" s="231"/>
      <c r="W28" s="232"/>
      <c r="X28" s="231"/>
      <c r="Y28" s="231"/>
      <c r="Z28" s="231"/>
      <c r="AA28" s="231"/>
      <c r="AB28" s="231"/>
      <c r="AC28" s="233"/>
      <c r="AD28" s="156"/>
    </row>
    <row r="29" spans="1:30" ht="12.75" customHeight="1" x14ac:dyDescent="0.2">
      <c r="B29" s="207" t="s">
        <v>1022</v>
      </c>
      <c r="C29" s="378"/>
      <c r="D29" s="269"/>
      <c r="E29" s="270"/>
      <c r="F29" s="268"/>
      <c r="G29" s="269"/>
      <c r="H29" s="270"/>
      <c r="I29" s="270"/>
      <c r="J29" s="270"/>
      <c r="K29" s="270"/>
      <c r="L29" s="245"/>
      <c r="M29" s="366" t="s">
        <v>1022</v>
      </c>
      <c r="N29" s="270"/>
      <c r="O29" s="247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9"/>
      <c r="AC29" s="230"/>
      <c r="AD29" s="85"/>
    </row>
    <row r="30" spans="1:30" ht="12.75" customHeight="1" x14ac:dyDescent="0.2">
      <c r="B30" s="184" t="s">
        <v>782</v>
      </c>
      <c r="C30" s="260">
        <f>-'TB (2) - October'!C40</f>
        <v>33</v>
      </c>
      <c r="D30" s="261">
        <f>+C30-E30</f>
        <v>33</v>
      </c>
      <c r="E30" s="262">
        <f>P30</f>
        <v>0</v>
      </c>
      <c r="F30" s="260">
        <f>-TB!C40</f>
        <v>45</v>
      </c>
      <c r="G30" s="261">
        <f t="shared" ref="G30:G35" si="9">+F30-H30</f>
        <v>45</v>
      </c>
      <c r="H30" s="262">
        <f>ROUND(SUMIF($P$5:$AA$5,"&lt;="&amp;$B$3,P30:AA30),2)</f>
        <v>0</v>
      </c>
      <c r="I30" s="262">
        <v>0</v>
      </c>
      <c r="J30" s="334">
        <v>12</v>
      </c>
      <c r="K30" s="334">
        <f t="shared" ref="K30:K34" si="10">J30-I30</f>
        <v>12</v>
      </c>
      <c r="L30" s="160"/>
      <c r="M30" s="208" t="s">
        <v>782</v>
      </c>
      <c r="N30" s="334">
        <v>12</v>
      </c>
      <c r="O30" s="196">
        <v>0</v>
      </c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>
        <f t="shared" ref="AB30:AB42" si="11">SUM(P30:AA30)</f>
        <v>0</v>
      </c>
      <c r="AC30" s="190" t="b">
        <f t="shared" ref="AC30:AC44" si="12">AB30=O30</f>
        <v>1</v>
      </c>
      <c r="AD30" s="85"/>
    </row>
    <row r="31" spans="1:30" ht="12.75" customHeight="1" x14ac:dyDescent="0.2">
      <c r="B31" s="184" t="s">
        <v>929</v>
      </c>
      <c r="C31" s="260">
        <f>+C32+C33</f>
        <v>2463.2600000000002</v>
      </c>
      <c r="D31" s="261">
        <f t="shared" ref="D31:D43" si="13">+C31-E31</f>
        <v>0.26000000000021828</v>
      </c>
      <c r="E31" s="262">
        <f>Y31</f>
        <v>2463</v>
      </c>
      <c r="F31" s="260">
        <f>+F32+F33</f>
        <v>112788.37</v>
      </c>
      <c r="G31" s="261">
        <f t="shared" si="9"/>
        <v>0.25999999999476131</v>
      </c>
      <c r="H31" s="262">
        <f>ROUND(SUMIF($P$5:$AA$5,"&lt;="&amp;$B$3,P31:AA31),2)</f>
        <v>112788.11</v>
      </c>
      <c r="I31" s="262">
        <v>118000</v>
      </c>
      <c r="J31" s="334">
        <v>117528.43</v>
      </c>
      <c r="K31" s="334">
        <f t="shared" si="10"/>
        <v>-471.57000000000698</v>
      </c>
      <c r="L31" s="160"/>
      <c r="M31" s="208" t="s">
        <v>929</v>
      </c>
      <c r="N31" s="334">
        <v>117528.43</v>
      </c>
      <c r="O31" s="196">
        <v>118000</v>
      </c>
      <c r="P31" s="163"/>
      <c r="Q31" s="163">
        <f>SUM(Q32:Q33)</f>
        <v>73267.509999999995</v>
      </c>
      <c r="R31" s="163">
        <f>SUM(R32:R33)</f>
        <v>15425.71</v>
      </c>
      <c r="S31" s="163">
        <f>SUM(S32:S33)</f>
        <v>1165.2</v>
      </c>
      <c r="T31" s="163">
        <f t="shared" ref="T31:X31" si="14">SUM(T32:T33)</f>
        <v>4212.13</v>
      </c>
      <c r="U31" s="163">
        <f t="shared" si="14"/>
        <v>3678</v>
      </c>
      <c r="V31" s="163">
        <f t="shared" si="14"/>
        <v>3990.88</v>
      </c>
      <c r="W31" s="163">
        <f t="shared" si="14"/>
        <v>6530.68</v>
      </c>
      <c r="X31" s="163">
        <f t="shared" si="14"/>
        <v>2055</v>
      </c>
      <c r="Y31" s="163">
        <f t="shared" ref="Y31" si="15">SUM(Y32:Y33)</f>
        <v>2463</v>
      </c>
      <c r="Z31" s="163">
        <v>2605.9499999999998</v>
      </c>
      <c r="AA31" s="163">
        <v>2605.94</v>
      </c>
      <c r="AB31" s="327">
        <f t="shared" si="11"/>
        <v>118000.00000000001</v>
      </c>
      <c r="AC31" s="190" t="b">
        <f>AB31=O31</f>
        <v>1</v>
      </c>
      <c r="AD31" s="85"/>
    </row>
    <row r="32" spans="1:30" ht="12.75" customHeight="1" x14ac:dyDescent="0.2">
      <c r="B32" s="185" t="s">
        <v>948</v>
      </c>
      <c r="C32" s="260">
        <f>-'TB (2) - October'!D37</f>
        <v>2463.2600000000002</v>
      </c>
      <c r="D32" s="261">
        <f t="shared" si="13"/>
        <v>0.26000000000021828</v>
      </c>
      <c r="E32" s="262">
        <f>Y32</f>
        <v>2463</v>
      </c>
      <c r="F32" s="260">
        <f>-TB!D37</f>
        <v>105618.98</v>
      </c>
      <c r="G32" s="261">
        <f t="shared" si="9"/>
        <v>0.25999999999476131</v>
      </c>
      <c r="H32" s="262">
        <f>ROUND(SUMIF($P$5:$AA$5,"&lt;="&amp;$B$3,P32:AA32),2)</f>
        <v>105618.72</v>
      </c>
      <c r="I32" s="262">
        <v>108000</v>
      </c>
      <c r="J32" s="334">
        <v>109644.17</v>
      </c>
      <c r="K32" s="334">
        <f t="shared" si="10"/>
        <v>1644.1699999999983</v>
      </c>
      <c r="L32" s="160"/>
      <c r="M32" s="209" t="s">
        <v>948</v>
      </c>
      <c r="N32" s="334">
        <v>109644.17</v>
      </c>
      <c r="O32" s="197">
        <v>108000</v>
      </c>
      <c r="P32" s="165">
        <f t="shared" ref="P32" si="16">P31*$J32</f>
        <v>0</v>
      </c>
      <c r="Q32" s="165">
        <v>73267.509999999995</v>
      </c>
      <c r="R32" s="165">
        <v>13807.83</v>
      </c>
      <c r="S32" s="165">
        <v>1165.2</v>
      </c>
      <c r="T32" s="165">
        <v>4212.13</v>
      </c>
      <c r="U32" s="165">
        <v>3598.5</v>
      </c>
      <c r="V32" s="165">
        <v>3600</v>
      </c>
      <c r="W32" s="165">
        <v>3504.55</v>
      </c>
      <c r="X32" s="327">
        <v>0</v>
      </c>
      <c r="Y32" s="327">
        <v>2463</v>
      </c>
      <c r="Z32" s="327">
        <v>1190.6400000000001</v>
      </c>
      <c r="AA32" s="327">
        <v>1190.6400000000001</v>
      </c>
      <c r="AB32" s="327">
        <f t="shared" si="11"/>
        <v>108000</v>
      </c>
      <c r="AC32" s="190" t="b">
        <f t="shared" si="12"/>
        <v>1</v>
      </c>
      <c r="AD32" s="85"/>
    </row>
    <row r="33" spans="1:30" ht="12.75" customHeight="1" x14ac:dyDescent="0.2">
      <c r="B33" s="185" t="s">
        <v>949</v>
      </c>
      <c r="C33" s="260">
        <f>-'TB (2) - October'!D39</f>
        <v>0</v>
      </c>
      <c r="D33" s="261">
        <f t="shared" si="13"/>
        <v>0</v>
      </c>
      <c r="E33" s="262">
        <f>Y33</f>
        <v>0</v>
      </c>
      <c r="F33" s="260">
        <f>-TB!D39</f>
        <v>7169.39</v>
      </c>
      <c r="G33" s="261">
        <f t="shared" si="9"/>
        <v>0</v>
      </c>
      <c r="H33" s="262">
        <f>ROUND(SUMIF($P$5:$AA$5,"&lt;="&amp;$B$3,P33:AA33),2)</f>
        <v>7169.39</v>
      </c>
      <c r="I33" s="262">
        <v>10000</v>
      </c>
      <c r="J33" s="334">
        <v>7884.26</v>
      </c>
      <c r="K33" s="334">
        <f t="shared" si="10"/>
        <v>-2115.7399999999998</v>
      </c>
      <c r="L33" s="160"/>
      <c r="M33" s="209" t="s">
        <v>949</v>
      </c>
      <c r="N33" s="334">
        <v>7884.26</v>
      </c>
      <c r="O33" s="197">
        <v>10000</v>
      </c>
      <c r="P33" s="165">
        <f>P$31*$J33</f>
        <v>0</v>
      </c>
      <c r="Q33" s="165"/>
      <c r="R33" s="165">
        <v>1617.88</v>
      </c>
      <c r="S33" s="165"/>
      <c r="T33" s="165"/>
      <c r="U33" s="165">
        <v>79.5</v>
      </c>
      <c r="V33" s="165">
        <v>390.88</v>
      </c>
      <c r="W33" s="165">
        <v>3026.13</v>
      </c>
      <c r="X33" s="165">
        <v>2055</v>
      </c>
      <c r="Y33" s="165">
        <v>0</v>
      </c>
      <c r="Z33" s="165">
        <v>1415.31</v>
      </c>
      <c r="AA33" s="165">
        <v>1415.3</v>
      </c>
      <c r="AB33" s="163">
        <f t="shared" si="11"/>
        <v>10000</v>
      </c>
      <c r="AC33" s="190" t="b">
        <f t="shared" si="12"/>
        <v>1</v>
      </c>
      <c r="AD33" s="85"/>
    </row>
    <row r="34" spans="1:30" ht="12.75" customHeight="1" x14ac:dyDescent="0.2">
      <c r="B34" s="186" t="s">
        <v>3</v>
      </c>
      <c r="C34" s="260">
        <f>-'TB (2) - October'!D44-'TB (2) - October'!D48</f>
        <v>30</v>
      </c>
      <c r="D34" s="261">
        <f t="shared" si="13"/>
        <v>-470</v>
      </c>
      <c r="E34" s="262">
        <f>X34</f>
        <v>500</v>
      </c>
      <c r="F34" s="260">
        <f>-TB!D44-TB!D48</f>
        <v>2332.33</v>
      </c>
      <c r="G34" s="261">
        <f t="shared" si="9"/>
        <v>-2667.67</v>
      </c>
      <c r="H34" s="262">
        <f>ROUND(SUMIF($P$5:$AA$5,"&lt;="&amp;$B$3,P34:AA34),2)</f>
        <v>5000</v>
      </c>
      <c r="I34" s="262">
        <v>6000</v>
      </c>
      <c r="J34" s="334">
        <v>3271.8</v>
      </c>
      <c r="K34" s="334">
        <f t="shared" si="10"/>
        <v>-2728.2</v>
      </c>
      <c r="L34" s="160"/>
      <c r="M34" s="210" t="s">
        <v>3</v>
      </c>
      <c r="N34" s="334">
        <v>3271.8</v>
      </c>
      <c r="O34" s="196">
        <v>6000</v>
      </c>
      <c r="P34" s="163">
        <f t="shared" ref="P34:AA34" si="17">$O34/12</f>
        <v>500</v>
      </c>
      <c r="Q34" s="163">
        <f t="shared" si="17"/>
        <v>500</v>
      </c>
      <c r="R34" s="163">
        <f t="shared" si="17"/>
        <v>500</v>
      </c>
      <c r="S34" s="163">
        <f t="shared" si="17"/>
        <v>500</v>
      </c>
      <c r="T34" s="163">
        <f t="shared" si="17"/>
        <v>500</v>
      </c>
      <c r="U34" s="163">
        <f t="shared" si="17"/>
        <v>500</v>
      </c>
      <c r="V34" s="163">
        <f t="shared" si="17"/>
        <v>500</v>
      </c>
      <c r="W34" s="163">
        <f t="shared" si="17"/>
        <v>500</v>
      </c>
      <c r="X34" s="163">
        <f t="shared" si="17"/>
        <v>500</v>
      </c>
      <c r="Y34" s="163">
        <f t="shared" si="17"/>
        <v>500</v>
      </c>
      <c r="Z34" s="163">
        <f t="shared" si="17"/>
        <v>500</v>
      </c>
      <c r="AA34" s="163">
        <f t="shared" si="17"/>
        <v>500</v>
      </c>
      <c r="AB34" s="163">
        <f t="shared" si="11"/>
        <v>6000</v>
      </c>
      <c r="AC34" s="190" t="b">
        <f t="shared" si="12"/>
        <v>1</v>
      </c>
      <c r="AD34" s="85"/>
    </row>
    <row r="35" spans="1:30" ht="12.75" customHeight="1" x14ac:dyDescent="0.2">
      <c r="B35" s="183" t="s">
        <v>1025</v>
      </c>
      <c r="C35" s="257">
        <f>SUM(C30:C34)-C31</f>
        <v>2526.2600000000002</v>
      </c>
      <c r="D35" s="258">
        <f>+C35-E35</f>
        <v>-436.73999999999978</v>
      </c>
      <c r="E35" s="259">
        <f>SUM(E30:E34)-E31</f>
        <v>2963</v>
      </c>
      <c r="F35" s="257">
        <f>SUM(F30:F34)-F31</f>
        <v>115165.69999999998</v>
      </c>
      <c r="G35" s="258">
        <f t="shared" si="9"/>
        <v>-2622.4100000000471</v>
      </c>
      <c r="H35" s="259">
        <f>SUM(H30:H34)-H31</f>
        <v>117788.11000000003</v>
      </c>
      <c r="I35" s="259">
        <f>SUM(I30:I34)-I31</f>
        <v>124000</v>
      </c>
      <c r="J35" s="259">
        <v>120812.22999999998</v>
      </c>
      <c r="K35" s="259">
        <f>J35-I35</f>
        <v>-3187.7700000000186</v>
      </c>
      <c r="L35" s="160"/>
      <c r="M35" s="209" t="s">
        <v>1025</v>
      </c>
      <c r="N35" s="259">
        <v>120812.22999999998</v>
      </c>
      <c r="O35" s="198">
        <f>SUM(O30:O34)-O31</f>
        <v>124000</v>
      </c>
      <c r="P35" s="167">
        <f>SUM(P30:P34)-P31</f>
        <v>500</v>
      </c>
      <c r="Q35" s="167">
        <f t="shared" ref="Q35:AA35" si="18">SUM(Q30:Q34)-Q31</f>
        <v>73767.509999999995</v>
      </c>
      <c r="R35" s="167">
        <f t="shared" si="18"/>
        <v>15925.710000000003</v>
      </c>
      <c r="S35" s="167">
        <f t="shared" si="18"/>
        <v>1665.2</v>
      </c>
      <c r="T35" s="167">
        <f t="shared" si="18"/>
        <v>4712.13</v>
      </c>
      <c r="U35" s="167">
        <f t="shared" si="18"/>
        <v>4178</v>
      </c>
      <c r="V35" s="167">
        <f t="shared" si="18"/>
        <v>4490.88</v>
      </c>
      <c r="W35" s="167">
        <f t="shared" si="18"/>
        <v>7030.68</v>
      </c>
      <c r="X35" s="167">
        <f t="shared" si="18"/>
        <v>2555</v>
      </c>
      <c r="Y35" s="167">
        <f t="shared" si="18"/>
        <v>2963</v>
      </c>
      <c r="Z35" s="167">
        <f t="shared" si="18"/>
        <v>3105.95</v>
      </c>
      <c r="AA35" s="167">
        <f t="shared" si="18"/>
        <v>3105.94</v>
      </c>
      <c r="AB35" s="167">
        <f>SUM(AB30:AB34)-AB31</f>
        <v>123999.99999999999</v>
      </c>
      <c r="AC35" s="189" t="b">
        <f t="shared" si="12"/>
        <v>1</v>
      </c>
      <c r="AD35" s="85"/>
    </row>
    <row r="36" spans="1:30" ht="12.75" customHeight="1" x14ac:dyDescent="0.2">
      <c r="B36" s="187"/>
      <c r="C36" s="260"/>
      <c r="D36" s="261"/>
      <c r="E36" s="262"/>
      <c r="F36" s="260"/>
      <c r="G36" s="261"/>
      <c r="H36" s="262"/>
      <c r="I36" s="262"/>
      <c r="J36" s="338"/>
      <c r="K36" s="338"/>
      <c r="L36" s="160"/>
      <c r="M36" s="210"/>
      <c r="N36" s="338"/>
      <c r="O36" s="196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90" t="b">
        <f t="shared" si="12"/>
        <v>1</v>
      </c>
      <c r="AD36" s="85"/>
    </row>
    <row r="37" spans="1:30" ht="12.75" customHeight="1" x14ac:dyDescent="0.2">
      <c r="B37" s="183" t="s">
        <v>1023</v>
      </c>
      <c r="C37" s="257"/>
      <c r="D37" s="258"/>
      <c r="E37" s="259"/>
      <c r="F37" s="257"/>
      <c r="G37" s="258"/>
      <c r="H37" s="259"/>
      <c r="I37" s="259"/>
      <c r="J37" s="259"/>
      <c r="K37" s="259"/>
      <c r="L37" s="160"/>
      <c r="M37" s="211" t="s">
        <v>1023</v>
      </c>
      <c r="N37" s="259"/>
      <c r="O37" s="198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89" t="b">
        <f t="shared" si="12"/>
        <v>1</v>
      </c>
      <c r="AD37" s="85"/>
    </row>
    <row r="38" spans="1:30" ht="12.75" customHeight="1" x14ac:dyDescent="0.2">
      <c r="B38" s="186" t="s">
        <v>975</v>
      </c>
      <c r="C38" s="260">
        <f>-'TB (2) - October'!D54-'TB (2) - October'!D55-'TB (2) - October'!D56</f>
        <v>0</v>
      </c>
      <c r="D38" s="261">
        <f t="shared" si="13"/>
        <v>0</v>
      </c>
      <c r="E38" s="262">
        <f t="shared" ref="E38" si="19">P38</f>
        <v>0</v>
      </c>
      <c r="F38" s="260">
        <f>-TB!D54-TB!D55-TB!D56</f>
        <v>1347.79</v>
      </c>
      <c r="G38" s="261">
        <f>+F38-H38</f>
        <v>1347.79</v>
      </c>
      <c r="H38" s="262">
        <f>ROUND(SUMIF($P$5:$AA$5,"&lt;="&amp;$B$3,P38:AA38),2)</f>
        <v>0</v>
      </c>
      <c r="I38" s="262">
        <v>0</v>
      </c>
      <c r="J38" s="334">
        <v>1344</v>
      </c>
      <c r="K38" s="334">
        <f t="shared" ref="K38:K39" si="20">J38-I38</f>
        <v>1344</v>
      </c>
      <c r="L38" s="160"/>
      <c r="M38" s="210" t="s">
        <v>975</v>
      </c>
      <c r="N38" s="334">
        <v>1344</v>
      </c>
      <c r="O38" s="196">
        <v>0</v>
      </c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>
        <f t="shared" ref="AB38" si="21">SUM(P38:AA38)</f>
        <v>0</v>
      </c>
      <c r="AC38" s="190" t="b">
        <f t="shared" si="12"/>
        <v>1</v>
      </c>
      <c r="AD38" s="85"/>
    </row>
    <row r="39" spans="1:30" ht="12.75" customHeight="1" x14ac:dyDescent="0.2">
      <c r="B39" s="183" t="s">
        <v>1026</v>
      </c>
      <c r="C39" s="257">
        <f>SUM(C38)</f>
        <v>0</v>
      </c>
      <c r="D39" s="258">
        <f>+C39-E39</f>
        <v>0</v>
      </c>
      <c r="E39" s="259">
        <f>SUM(E38)</f>
        <v>0</v>
      </c>
      <c r="F39" s="257">
        <f>SUM(F38)</f>
        <v>1347.79</v>
      </c>
      <c r="G39" s="258">
        <f>+F39-H39</f>
        <v>1347.79</v>
      </c>
      <c r="H39" s="259">
        <f>SUM(H38)</f>
        <v>0</v>
      </c>
      <c r="I39" s="259">
        <f>SUM(I38)</f>
        <v>0</v>
      </c>
      <c r="J39" s="259">
        <v>1344</v>
      </c>
      <c r="K39" s="259">
        <f t="shared" si="20"/>
        <v>1344</v>
      </c>
      <c r="L39" s="160"/>
      <c r="M39" s="211" t="s">
        <v>1026</v>
      </c>
      <c r="N39" s="259">
        <v>1344</v>
      </c>
      <c r="O39" s="198">
        <f>SUM(O38)</f>
        <v>0</v>
      </c>
      <c r="P39" s="166">
        <f t="shared" ref="P39:AB39" si="22">SUM(P38)</f>
        <v>0</v>
      </c>
      <c r="Q39" s="166">
        <f t="shared" si="22"/>
        <v>0</v>
      </c>
      <c r="R39" s="166">
        <f t="shared" si="22"/>
        <v>0</v>
      </c>
      <c r="S39" s="166">
        <f t="shared" si="22"/>
        <v>0</v>
      </c>
      <c r="T39" s="166">
        <f t="shared" si="22"/>
        <v>0</v>
      </c>
      <c r="U39" s="166">
        <f t="shared" si="22"/>
        <v>0</v>
      </c>
      <c r="V39" s="166">
        <f t="shared" si="22"/>
        <v>0</v>
      </c>
      <c r="W39" s="166">
        <f t="shared" si="22"/>
        <v>0</v>
      </c>
      <c r="X39" s="166">
        <f t="shared" si="22"/>
        <v>0</v>
      </c>
      <c r="Y39" s="166">
        <f t="shared" si="22"/>
        <v>0</v>
      </c>
      <c r="Z39" s="166">
        <f t="shared" si="22"/>
        <v>0</v>
      </c>
      <c r="AA39" s="166">
        <f t="shared" si="22"/>
        <v>0</v>
      </c>
      <c r="AB39" s="166">
        <f t="shared" si="22"/>
        <v>0</v>
      </c>
      <c r="AC39" s="189" t="b">
        <f t="shared" si="12"/>
        <v>1</v>
      </c>
      <c r="AD39" s="85"/>
    </row>
    <row r="40" spans="1:30" ht="12.75" customHeight="1" x14ac:dyDescent="0.2">
      <c r="B40" s="187"/>
      <c r="C40" s="260"/>
      <c r="D40" s="261"/>
      <c r="E40" s="262"/>
      <c r="F40" s="260"/>
      <c r="G40" s="261"/>
      <c r="H40" s="262"/>
      <c r="I40" s="262"/>
      <c r="J40" s="338"/>
      <c r="K40" s="338"/>
      <c r="L40" s="160"/>
      <c r="M40" s="210"/>
      <c r="N40" s="338"/>
      <c r="O40" s="196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90" t="b">
        <f t="shared" si="12"/>
        <v>1</v>
      </c>
      <c r="AD40" s="85"/>
    </row>
    <row r="41" spans="1:30" ht="12.75" customHeight="1" x14ac:dyDescent="0.2">
      <c r="B41" s="183" t="s">
        <v>1024</v>
      </c>
      <c r="C41" s="257"/>
      <c r="D41" s="258"/>
      <c r="E41" s="259"/>
      <c r="F41" s="257"/>
      <c r="G41" s="258"/>
      <c r="H41" s="259"/>
      <c r="I41" s="259"/>
      <c r="J41" s="259"/>
      <c r="K41" s="259"/>
      <c r="L41" s="160"/>
      <c r="M41" s="211" t="s">
        <v>1024</v>
      </c>
      <c r="N41" s="259"/>
      <c r="O41" s="198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89" t="b">
        <f t="shared" si="12"/>
        <v>1</v>
      </c>
      <c r="AD41" s="85"/>
    </row>
    <row r="42" spans="1:30" ht="12.75" customHeight="1" x14ac:dyDescent="0.2">
      <c r="B42" s="187" t="s">
        <v>988</v>
      </c>
      <c r="C42" s="260">
        <f>-'TB (2) - October'!D42-'TB (2) - October'!D43</f>
        <v>2282.6799999999998</v>
      </c>
      <c r="D42" s="261">
        <f t="shared" si="13"/>
        <v>2282.6799999999998</v>
      </c>
      <c r="E42" s="262">
        <f>T42</f>
        <v>0</v>
      </c>
      <c r="F42" s="260">
        <f>-TB!D42-TB!D43</f>
        <v>6511.9</v>
      </c>
      <c r="G42" s="261">
        <f>+F42-H42</f>
        <v>2011.8999999999996</v>
      </c>
      <c r="H42" s="262">
        <f>ROUND(SUMIF($P$5:$AA$5,"&lt;="&amp;$B$3,P42:AA42),2)</f>
        <v>4500</v>
      </c>
      <c r="I42" s="262">
        <v>6000</v>
      </c>
      <c r="J42" s="334">
        <v>5999.98</v>
      </c>
      <c r="K42" s="334">
        <f>J42-I42</f>
        <v>-2.0000000000436557E-2</v>
      </c>
      <c r="L42" s="160"/>
      <c r="M42" s="210" t="s">
        <v>988</v>
      </c>
      <c r="N42" s="334">
        <v>5999.98</v>
      </c>
      <c r="O42" s="196">
        <v>6000</v>
      </c>
      <c r="P42" s="163"/>
      <c r="Q42" s="163"/>
      <c r="S42" s="163">
        <f>$O42/4</f>
        <v>1500</v>
      </c>
      <c r="T42" s="163"/>
      <c r="U42" s="163"/>
      <c r="V42" s="163">
        <f>$O42/4</f>
        <v>1500</v>
      </c>
      <c r="W42" s="163"/>
      <c r="X42" s="163"/>
      <c r="Y42" s="163">
        <f>$O42/4</f>
        <v>1500</v>
      </c>
      <c r="Z42" s="163"/>
      <c r="AA42" s="163">
        <f>$O42/4</f>
        <v>1500</v>
      </c>
      <c r="AB42" s="163">
        <f t="shared" si="11"/>
        <v>6000</v>
      </c>
      <c r="AC42" s="190" t="b">
        <f t="shared" si="12"/>
        <v>1</v>
      </c>
      <c r="AD42" s="85"/>
    </row>
    <row r="43" spans="1:30" ht="12.75" customHeight="1" thickBot="1" x14ac:dyDescent="0.25">
      <c r="B43" s="183" t="s">
        <v>1027</v>
      </c>
      <c r="C43" s="263">
        <f>SUM(C42)</f>
        <v>2282.6799999999998</v>
      </c>
      <c r="D43" s="264">
        <f t="shared" si="13"/>
        <v>2282.6799999999998</v>
      </c>
      <c r="E43" s="265">
        <f>SUM(E42)</f>
        <v>0</v>
      </c>
      <c r="F43" s="263">
        <f>SUM(F42)</f>
        <v>6511.9</v>
      </c>
      <c r="G43" s="264">
        <f>+F43-H43</f>
        <v>2011.8999999999996</v>
      </c>
      <c r="H43" s="265">
        <f>SUM(H42)</f>
        <v>4500</v>
      </c>
      <c r="I43" s="265">
        <f>SUM(I42)</f>
        <v>6000</v>
      </c>
      <c r="J43" s="265">
        <v>5999.98</v>
      </c>
      <c r="K43" s="265">
        <f>J43-I43</f>
        <v>-2.0000000000436557E-2</v>
      </c>
      <c r="L43" s="160"/>
      <c r="M43" s="211" t="s">
        <v>1027</v>
      </c>
      <c r="N43" s="265">
        <v>5999.98</v>
      </c>
      <c r="O43" s="218">
        <f>SUM(O42)</f>
        <v>6000</v>
      </c>
      <c r="P43" s="219">
        <f t="shared" ref="P43:AB43" si="23">SUM(P42)</f>
        <v>0</v>
      </c>
      <c r="Q43" s="219">
        <f t="shared" si="23"/>
        <v>0</v>
      </c>
      <c r="R43" s="219">
        <f>SUM(R42)</f>
        <v>0</v>
      </c>
      <c r="S43" s="219">
        <f>SUM(S42)</f>
        <v>1500</v>
      </c>
      <c r="T43" s="219">
        <f t="shared" si="23"/>
        <v>0</v>
      </c>
      <c r="U43" s="219">
        <f t="shared" si="23"/>
        <v>0</v>
      </c>
      <c r="V43" s="219">
        <f t="shared" si="23"/>
        <v>1500</v>
      </c>
      <c r="W43" s="219">
        <f t="shared" si="23"/>
        <v>0</v>
      </c>
      <c r="X43" s="219">
        <f t="shared" si="23"/>
        <v>0</v>
      </c>
      <c r="Y43" s="219">
        <f t="shared" si="23"/>
        <v>1500</v>
      </c>
      <c r="Z43" s="219">
        <f t="shared" si="23"/>
        <v>0</v>
      </c>
      <c r="AA43" s="219">
        <f t="shared" si="23"/>
        <v>1500</v>
      </c>
      <c r="AB43" s="219">
        <f t="shared" si="23"/>
        <v>6000</v>
      </c>
      <c r="AC43" s="220" t="b">
        <f t="shared" si="12"/>
        <v>1</v>
      </c>
      <c r="AD43" s="85"/>
    </row>
    <row r="44" spans="1:30" s="157" customFormat="1" ht="21.75" customHeight="1" thickBot="1" x14ac:dyDescent="0.35">
      <c r="A44" s="162"/>
      <c r="B44" s="360" t="s">
        <v>142</v>
      </c>
      <c r="C44" s="280">
        <f>C35+C39+C43</f>
        <v>4808.9400000000005</v>
      </c>
      <c r="D44" s="280">
        <f>+C44-E44</f>
        <v>1845.9400000000005</v>
      </c>
      <c r="E44" s="281">
        <f>E35+E39+E43</f>
        <v>2963</v>
      </c>
      <c r="F44" s="280">
        <f>F35+F39+F43</f>
        <v>123025.38999999997</v>
      </c>
      <c r="G44" s="280">
        <f>+F44-H44</f>
        <v>737.27999999994063</v>
      </c>
      <c r="H44" s="281">
        <f>H35+H39+H43</f>
        <v>122288.11000000003</v>
      </c>
      <c r="I44" s="281">
        <f>I35+I39+I43</f>
        <v>130000</v>
      </c>
      <c r="J44" s="363">
        <v>128156.20999999998</v>
      </c>
      <c r="K44" s="363">
        <f>J44-I44</f>
        <v>-1843.7900000000227</v>
      </c>
      <c r="L44" s="162"/>
      <c r="M44" s="360" t="s">
        <v>142</v>
      </c>
      <c r="N44" s="363">
        <v>128156.20999999998</v>
      </c>
      <c r="O44" s="215">
        <f>O35+O39+O43</f>
        <v>130000</v>
      </c>
      <c r="P44" s="215">
        <f t="shared" ref="P44:AB44" si="24">P35+P39+P43</f>
        <v>500</v>
      </c>
      <c r="Q44" s="215">
        <f t="shared" si="24"/>
        <v>73767.509999999995</v>
      </c>
      <c r="R44" s="215">
        <f t="shared" si="24"/>
        <v>15925.710000000003</v>
      </c>
      <c r="S44" s="215">
        <f t="shared" si="24"/>
        <v>3165.2</v>
      </c>
      <c r="T44" s="215">
        <f t="shared" si="24"/>
        <v>4712.13</v>
      </c>
      <c r="U44" s="215">
        <f t="shared" si="24"/>
        <v>4178</v>
      </c>
      <c r="V44" s="215">
        <f t="shared" si="24"/>
        <v>5990.88</v>
      </c>
      <c r="W44" s="215">
        <f t="shared" si="24"/>
        <v>7030.68</v>
      </c>
      <c r="X44" s="215">
        <f t="shared" si="24"/>
        <v>2555</v>
      </c>
      <c r="Y44" s="215">
        <f t="shared" si="24"/>
        <v>4463</v>
      </c>
      <c r="Z44" s="215">
        <f t="shared" si="24"/>
        <v>3105.95</v>
      </c>
      <c r="AA44" s="215">
        <f t="shared" si="24"/>
        <v>4605.9400000000005</v>
      </c>
      <c r="AB44" s="215">
        <f t="shared" si="24"/>
        <v>129999.99999999999</v>
      </c>
      <c r="AC44" s="233" t="b">
        <f t="shared" si="12"/>
        <v>1</v>
      </c>
      <c r="AD44" s="156"/>
    </row>
    <row r="45" spans="1:30" ht="12.75" customHeight="1" thickBot="1" x14ac:dyDescent="0.25">
      <c r="B45" s="86"/>
      <c r="C45" s="282"/>
      <c r="D45" s="283"/>
      <c r="E45" s="284"/>
      <c r="F45" s="282"/>
      <c r="G45" s="283"/>
      <c r="H45" s="284"/>
      <c r="I45" s="284"/>
      <c r="J45" s="364"/>
      <c r="K45" s="364"/>
      <c r="L45" s="160"/>
      <c r="M45" s="212"/>
      <c r="N45" s="364"/>
      <c r="O45" s="199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246"/>
      <c r="AD45" s="85"/>
    </row>
    <row r="46" spans="1:30" s="157" customFormat="1" ht="21.75" customHeight="1" thickBot="1" x14ac:dyDescent="0.35">
      <c r="A46" s="162"/>
      <c r="B46" s="360" t="s">
        <v>764</v>
      </c>
      <c r="C46" s="280"/>
      <c r="D46" s="280"/>
      <c r="E46" s="281"/>
      <c r="F46" s="280"/>
      <c r="G46" s="280"/>
      <c r="H46" s="281"/>
      <c r="I46" s="281"/>
      <c r="J46" s="363"/>
      <c r="K46" s="363"/>
      <c r="L46" s="162"/>
      <c r="M46" s="360" t="s">
        <v>764</v>
      </c>
      <c r="N46" s="363"/>
      <c r="O46" s="215"/>
      <c r="P46" s="231"/>
      <c r="Q46" s="231"/>
      <c r="R46" s="231"/>
      <c r="S46" s="231"/>
      <c r="T46" s="231"/>
      <c r="U46" s="231"/>
      <c r="V46" s="231"/>
      <c r="W46" s="232"/>
      <c r="X46" s="231"/>
      <c r="Y46" s="231"/>
      <c r="Z46" s="231"/>
      <c r="AA46" s="231"/>
      <c r="AB46" s="231"/>
      <c r="AC46" s="233"/>
      <c r="AD46" s="156"/>
    </row>
    <row r="47" spans="1:30" ht="12.75" customHeight="1" x14ac:dyDescent="0.25">
      <c r="B47" s="188" t="s">
        <v>1028</v>
      </c>
      <c r="C47" s="285"/>
      <c r="D47" s="269"/>
      <c r="E47" s="286"/>
      <c r="F47" s="285"/>
      <c r="G47" s="269"/>
      <c r="H47" s="286"/>
      <c r="I47" s="286"/>
      <c r="J47" s="286"/>
      <c r="K47" s="286"/>
      <c r="L47" s="160"/>
      <c r="M47" s="207" t="s">
        <v>1028</v>
      </c>
      <c r="N47" s="286"/>
      <c r="O47" s="23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70"/>
      <c r="AC47" s="230"/>
      <c r="AD47" s="85"/>
    </row>
    <row r="48" spans="1:30" ht="12.75" customHeight="1" x14ac:dyDescent="0.2">
      <c r="B48" s="187" t="s">
        <v>1029</v>
      </c>
      <c r="C48" s="260"/>
      <c r="D48" s="261"/>
      <c r="E48" s="262"/>
      <c r="F48" s="260"/>
      <c r="G48" s="261"/>
      <c r="H48" s="262"/>
      <c r="I48" s="262"/>
      <c r="J48" s="338"/>
      <c r="K48" s="338"/>
      <c r="L48" s="160"/>
      <c r="M48" s="213" t="s">
        <v>1029</v>
      </c>
      <c r="N48" s="338"/>
      <c r="O48" s="20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63"/>
      <c r="AC48" s="190"/>
      <c r="AD48" s="85"/>
    </row>
    <row r="49" spans="2:30" ht="12.75" customHeight="1" x14ac:dyDescent="0.2">
      <c r="B49" s="184" t="s">
        <v>932</v>
      </c>
      <c r="C49" s="260">
        <f>-'TB (2) - October'!D58</f>
        <v>-7087.5</v>
      </c>
      <c r="D49" s="261">
        <f>+C49-E49</f>
        <v>-1670.833333333333</v>
      </c>
      <c r="E49" s="262">
        <f>X49</f>
        <v>-5416.666666666667</v>
      </c>
      <c r="F49" s="260">
        <f>-TB!D58</f>
        <v>-53865</v>
      </c>
      <c r="G49" s="261">
        <f>+F49-H49</f>
        <v>301.66999999999825</v>
      </c>
      <c r="H49" s="262">
        <f>ROUND(SUMIF($P$5:$AA$5,"&lt;="&amp;$B$3,P49:AA49),2)</f>
        <v>-54166.67</v>
      </c>
      <c r="I49" s="262">
        <v>-65000</v>
      </c>
      <c r="J49" s="334">
        <v>-63465.5</v>
      </c>
      <c r="K49" s="334">
        <f t="shared" ref="K49:K51" si="25">J49-I49</f>
        <v>1534.5</v>
      </c>
      <c r="L49" s="160"/>
      <c r="M49" s="208" t="s">
        <v>932</v>
      </c>
      <c r="N49" s="334">
        <v>-63465.5</v>
      </c>
      <c r="O49" s="202">
        <v>-65000</v>
      </c>
      <c r="P49" s="171">
        <f t="shared" ref="P49:AA54" si="26">$O49/12</f>
        <v>-5416.666666666667</v>
      </c>
      <c r="Q49" s="171">
        <f t="shared" si="26"/>
        <v>-5416.666666666667</v>
      </c>
      <c r="R49" s="171">
        <f t="shared" si="26"/>
        <v>-5416.666666666667</v>
      </c>
      <c r="S49" s="171">
        <f t="shared" si="26"/>
        <v>-5416.666666666667</v>
      </c>
      <c r="T49" s="171">
        <f t="shared" si="26"/>
        <v>-5416.666666666667</v>
      </c>
      <c r="U49" s="171">
        <f t="shared" si="26"/>
        <v>-5416.666666666667</v>
      </c>
      <c r="V49" s="171">
        <f t="shared" si="26"/>
        <v>-5416.666666666667</v>
      </c>
      <c r="W49" s="171">
        <f t="shared" si="26"/>
        <v>-5416.666666666667</v>
      </c>
      <c r="X49" s="171">
        <f t="shared" si="26"/>
        <v>-5416.666666666667</v>
      </c>
      <c r="Y49" s="171">
        <f t="shared" si="26"/>
        <v>-5416.666666666667</v>
      </c>
      <c r="Z49" s="171">
        <f t="shared" si="26"/>
        <v>-5416.666666666667</v>
      </c>
      <c r="AA49" s="171">
        <f t="shared" si="26"/>
        <v>-5416.666666666667</v>
      </c>
      <c r="AB49" s="163">
        <f t="shared" ref="AB49:AB54" si="27">SUM(P49:AA49)</f>
        <v>-64999.999999999993</v>
      </c>
      <c r="AC49" s="190" t="b">
        <f t="shared" ref="AC49:AC54" si="28">AB49=O49</f>
        <v>1</v>
      </c>
      <c r="AD49" s="85"/>
    </row>
    <row r="50" spans="2:30" ht="12.75" customHeight="1" x14ac:dyDescent="0.2">
      <c r="B50" s="186" t="s">
        <v>933</v>
      </c>
      <c r="C50" s="260">
        <f>-'TB (2) - October'!D63</f>
        <v>-3975.59</v>
      </c>
      <c r="D50" s="261">
        <f t="shared" ref="D50:D79" si="29">+C50-E50</f>
        <v>-2725.59</v>
      </c>
      <c r="E50" s="262">
        <f>X50</f>
        <v>-1250</v>
      </c>
      <c r="F50" s="260">
        <f>-TB!D63</f>
        <v>-10693.01</v>
      </c>
      <c r="G50" s="261">
        <f>+F50-H50</f>
        <v>1806.9899999999998</v>
      </c>
      <c r="H50" s="262">
        <f>ROUND(SUMIF($P$5:$AA$5,"&lt;="&amp;$B$3,P50:AA50),2)</f>
        <v>-12500</v>
      </c>
      <c r="I50" s="262">
        <v>-15000</v>
      </c>
      <c r="J50" s="334">
        <v>-12752.32</v>
      </c>
      <c r="K50" s="334">
        <f t="shared" si="25"/>
        <v>2247.6800000000003</v>
      </c>
      <c r="L50" s="160"/>
      <c r="M50" s="210" t="s">
        <v>933</v>
      </c>
      <c r="N50" s="334">
        <v>-12752.32</v>
      </c>
      <c r="O50" s="202">
        <v>-15000</v>
      </c>
      <c r="P50" s="171">
        <f t="shared" si="26"/>
        <v>-1250</v>
      </c>
      <c r="Q50" s="171">
        <f t="shared" si="26"/>
        <v>-1250</v>
      </c>
      <c r="R50" s="171">
        <f t="shared" si="26"/>
        <v>-1250</v>
      </c>
      <c r="S50" s="171">
        <f t="shared" si="26"/>
        <v>-1250</v>
      </c>
      <c r="T50" s="171">
        <f t="shared" si="26"/>
        <v>-1250</v>
      </c>
      <c r="U50" s="171">
        <f t="shared" si="26"/>
        <v>-1250</v>
      </c>
      <c r="V50" s="171">
        <f t="shared" si="26"/>
        <v>-1250</v>
      </c>
      <c r="W50" s="171">
        <f t="shared" si="26"/>
        <v>-1250</v>
      </c>
      <c r="X50" s="171">
        <f t="shared" si="26"/>
        <v>-1250</v>
      </c>
      <c r="Y50" s="171">
        <f t="shared" si="26"/>
        <v>-1250</v>
      </c>
      <c r="Z50" s="171">
        <f t="shared" si="26"/>
        <v>-1250</v>
      </c>
      <c r="AA50" s="171">
        <f t="shared" si="26"/>
        <v>-1250</v>
      </c>
      <c r="AB50" s="163">
        <f t="shared" si="27"/>
        <v>-15000</v>
      </c>
      <c r="AC50" s="190" t="b">
        <f t="shared" si="28"/>
        <v>1</v>
      </c>
      <c r="AD50" s="85"/>
    </row>
    <row r="51" spans="2:30" ht="12.75" customHeight="1" x14ac:dyDescent="0.2">
      <c r="B51" s="186" t="s">
        <v>11</v>
      </c>
      <c r="C51" s="260">
        <f>-'TB (2) - October'!D64</f>
        <v>-2410.17</v>
      </c>
      <c r="D51" s="261">
        <f t="shared" si="29"/>
        <v>-1993.5033333333333</v>
      </c>
      <c r="E51" s="262">
        <f>X51</f>
        <v>-416.66666666666669</v>
      </c>
      <c r="F51" s="260">
        <f>-TB!D64</f>
        <v>-5213.12</v>
      </c>
      <c r="G51" s="261">
        <f>+F51-H51</f>
        <v>-1046.4499999999998</v>
      </c>
      <c r="H51" s="262">
        <f>ROUND(SUMIF($P$5:$AA$5,"&lt;="&amp;$B$3,P51:AA51),2)</f>
        <v>-4166.67</v>
      </c>
      <c r="I51" s="262">
        <v>-5000</v>
      </c>
      <c r="J51" s="334">
        <v>-4999.72</v>
      </c>
      <c r="K51" s="334">
        <f t="shared" si="25"/>
        <v>0.27999999999974534</v>
      </c>
      <c r="L51" s="160"/>
      <c r="M51" s="210" t="s">
        <v>11</v>
      </c>
      <c r="N51" s="334">
        <v>-4999.72</v>
      </c>
      <c r="O51" s="202">
        <v>-5000</v>
      </c>
      <c r="P51" s="171">
        <f t="shared" si="26"/>
        <v>-416.66666666666669</v>
      </c>
      <c r="Q51" s="171">
        <f t="shared" si="26"/>
        <v>-416.66666666666669</v>
      </c>
      <c r="R51" s="171">
        <f t="shared" si="26"/>
        <v>-416.66666666666669</v>
      </c>
      <c r="S51" s="171">
        <f t="shared" si="26"/>
        <v>-416.66666666666669</v>
      </c>
      <c r="T51" s="171">
        <f t="shared" si="26"/>
        <v>-416.66666666666669</v>
      </c>
      <c r="U51" s="171">
        <f t="shared" si="26"/>
        <v>-416.66666666666669</v>
      </c>
      <c r="V51" s="171">
        <f t="shared" si="26"/>
        <v>-416.66666666666669</v>
      </c>
      <c r="W51" s="171">
        <f t="shared" si="26"/>
        <v>-416.66666666666669</v>
      </c>
      <c r="X51" s="171">
        <f t="shared" si="26"/>
        <v>-416.66666666666669</v>
      </c>
      <c r="Y51" s="171">
        <f t="shared" si="26"/>
        <v>-416.66666666666669</v>
      </c>
      <c r="Z51" s="171">
        <f t="shared" si="26"/>
        <v>-416.66666666666669</v>
      </c>
      <c r="AA51" s="171">
        <f t="shared" si="26"/>
        <v>-416.66666666666669</v>
      </c>
      <c r="AB51" s="163">
        <f t="shared" si="27"/>
        <v>-5000</v>
      </c>
      <c r="AC51" s="190" t="b">
        <f t="shared" si="28"/>
        <v>1</v>
      </c>
      <c r="AD51" s="85"/>
    </row>
    <row r="52" spans="2:30" ht="12" customHeight="1" x14ac:dyDescent="0.2">
      <c r="B52" s="187"/>
      <c r="C52" s="260"/>
      <c r="D52" s="261"/>
      <c r="E52" s="262"/>
      <c r="F52" s="260"/>
      <c r="G52" s="261"/>
      <c r="H52" s="262"/>
      <c r="I52" s="262"/>
      <c r="J52" s="338"/>
      <c r="K52" s="338"/>
      <c r="L52" s="160"/>
      <c r="M52" s="210"/>
      <c r="N52" s="338"/>
      <c r="O52" s="202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63"/>
      <c r="AC52" s="190"/>
      <c r="AD52" s="85"/>
    </row>
    <row r="53" spans="2:30" ht="12.75" customHeight="1" x14ac:dyDescent="0.2">
      <c r="B53" s="187" t="s">
        <v>1030</v>
      </c>
      <c r="C53" s="260"/>
      <c r="D53" s="261"/>
      <c r="E53" s="262"/>
      <c r="F53" s="260"/>
      <c r="G53" s="261"/>
      <c r="H53" s="262"/>
      <c r="I53" s="262"/>
      <c r="J53" s="338"/>
      <c r="K53" s="338"/>
      <c r="L53" s="160"/>
      <c r="M53" s="213" t="s">
        <v>1030</v>
      </c>
      <c r="N53" s="338"/>
      <c r="O53" s="202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63"/>
      <c r="AC53" s="190"/>
      <c r="AD53" s="85"/>
    </row>
    <row r="54" spans="2:30" ht="12.75" customHeight="1" x14ac:dyDescent="0.2">
      <c r="B54" s="186" t="s">
        <v>779</v>
      </c>
      <c r="C54" s="260">
        <f>-'TB (2) - October'!D65</f>
        <v>-1503.5</v>
      </c>
      <c r="D54" s="261">
        <f t="shared" si="29"/>
        <v>1079.8333333333335</v>
      </c>
      <c r="E54" s="262">
        <f>X54</f>
        <v>-2583.3333333333335</v>
      </c>
      <c r="F54" s="260">
        <f>-TB!D65</f>
        <v>-15768.83</v>
      </c>
      <c r="G54" s="261">
        <f>+F54-H54</f>
        <v>10064.500000000002</v>
      </c>
      <c r="H54" s="262">
        <f>ROUND(SUMIF($P$5:$AA$5,"&lt;="&amp;$B$3,P54:AA54),2)</f>
        <v>-25833.33</v>
      </c>
      <c r="I54" s="262">
        <v>-31000</v>
      </c>
      <c r="J54" s="334">
        <v>-22999.93</v>
      </c>
      <c r="K54" s="334">
        <f t="shared" ref="K54:K57" si="30">J54-I54</f>
        <v>8000.07</v>
      </c>
      <c r="L54" s="160"/>
      <c r="M54" s="210" t="s">
        <v>779</v>
      </c>
      <c r="N54" s="334">
        <v>-22999.93</v>
      </c>
      <c r="O54" s="202">
        <v>-31000</v>
      </c>
      <c r="P54" s="171">
        <f t="shared" si="26"/>
        <v>-2583.3333333333335</v>
      </c>
      <c r="Q54" s="171">
        <f t="shared" si="26"/>
        <v>-2583.3333333333335</v>
      </c>
      <c r="R54" s="171">
        <f t="shared" si="26"/>
        <v>-2583.3333333333335</v>
      </c>
      <c r="S54" s="171">
        <f t="shared" si="26"/>
        <v>-2583.3333333333335</v>
      </c>
      <c r="T54" s="171">
        <f t="shared" si="26"/>
        <v>-2583.3333333333335</v>
      </c>
      <c r="U54" s="171">
        <f t="shared" si="26"/>
        <v>-2583.3333333333335</v>
      </c>
      <c r="V54" s="171">
        <f t="shared" si="26"/>
        <v>-2583.3333333333335</v>
      </c>
      <c r="W54" s="171">
        <f t="shared" si="26"/>
        <v>-2583.3333333333335</v>
      </c>
      <c r="X54" s="171">
        <f t="shared" si="26"/>
        <v>-2583.3333333333335</v>
      </c>
      <c r="Y54" s="171">
        <f t="shared" si="26"/>
        <v>-2583.3333333333335</v>
      </c>
      <c r="Z54" s="171">
        <f t="shared" si="26"/>
        <v>-2583.3333333333335</v>
      </c>
      <c r="AA54" s="171">
        <f t="shared" si="26"/>
        <v>-2583.3333333333335</v>
      </c>
      <c r="AB54" s="163">
        <f t="shared" si="27"/>
        <v>-30999.999999999996</v>
      </c>
      <c r="AC54" s="190" t="b">
        <f t="shared" si="28"/>
        <v>1</v>
      </c>
      <c r="AD54" s="85"/>
    </row>
    <row r="55" spans="2:30" ht="12.75" customHeight="1" x14ac:dyDescent="0.2">
      <c r="B55" s="186" t="s">
        <v>913</v>
      </c>
      <c r="C55" s="260">
        <f>-'TB (2) - October'!D91</f>
        <v>0</v>
      </c>
      <c r="D55" s="261">
        <f>+C55-E55</f>
        <v>33.333333333333336</v>
      </c>
      <c r="E55" s="262">
        <f>S55</f>
        <v>-33.333333333333336</v>
      </c>
      <c r="F55" s="260">
        <f>-TB!D91</f>
        <v>0</v>
      </c>
      <c r="G55" s="261">
        <f>+F55-H55</f>
        <v>333.33</v>
      </c>
      <c r="H55" s="262">
        <f>ROUND(SUMIF($P$5:$AA$5,"&lt;="&amp;$B$3,P55:AA55),2)</f>
        <v>-333.33</v>
      </c>
      <c r="I55" s="262">
        <v>-400</v>
      </c>
      <c r="J55" s="334">
        <v>0</v>
      </c>
      <c r="K55" s="334">
        <f t="shared" si="30"/>
        <v>400</v>
      </c>
      <c r="L55" s="160"/>
      <c r="M55" s="210" t="s">
        <v>913</v>
      </c>
      <c r="N55" s="334">
        <v>0</v>
      </c>
      <c r="O55" s="202">
        <v>-400</v>
      </c>
      <c r="P55" s="171">
        <f t="shared" ref="P55:AA55" si="31">$O55/12</f>
        <v>-33.333333333333336</v>
      </c>
      <c r="Q55" s="171">
        <f t="shared" si="31"/>
        <v>-33.333333333333336</v>
      </c>
      <c r="R55" s="171">
        <f t="shared" si="31"/>
        <v>-33.333333333333336</v>
      </c>
      <c r="S55" s="171">
        <f t="shared" si="31"/>
        <v>-33.333333333333336</v>
      </c>
      <c r="T55" s="171">
        <f t="shared" si="31"/>
        <v>-33.333333333333336</v>
      </c>
      <c r="U55" s="171">
        <f t="shared" si="31"/>
        <v>-33.333333333333336</v>
      </c>
      <c r="V55" s="171">
        <f t="shared" si="31"/>
        <v>-33.333333333333336</v>
      </c>
      <c r="W55" s="171">
        <f t="shared" si="31"/>
        <v>-33.333333333333336</v>
      </c>
      <c r="X55" s="171">
        <f t="shared" si="31"/>
        <v>-33.333333333333336</v>
      </c>
      <c r="Y55" s="171">
        <f t="shared" si="31"/>
        <v>-33.333333333333336</v>
      </c>
      <c r="Z55" s="171">
        <f t="shared" si="31"/>
        <v>-33.333333333333336</v>
      </c>
      <c r="AA55" s="171">
        <f t="shared" si="31"/>
        <v>-33.333333333333336</v>
      </c>
      <c r="AB55" s="163">
        <f>SUM(P55:AA55)</f>
        <v>-399.99999999999994</v>
      </c>
      <c r="AC55" s="190" t="b">
        <f>AB55=O55</f>
        <v>1</v>
      </c>
      <c r="AD55" s="85"/>
    </row>
    <row r="56" spans="2:30" ht="12.75" customHeight="1" x14ac:dyDescent="0.2">
      <c r="B56" s="186" t="s">
        <v>1042</v>
      </c>
      <c r="C56" s="260">
        <f>-4500/12</f>
        <v>-375</v>
      </c>
      <c r="D56" s="261">
        <f>+C56-E56</f>
        <v>0</v>
      </c>
      <c r="E56" s="262">
        <f>-4500/12</f>
        <v>-375</v>
      </c>
      <c r="F56" s="260">
        <f>D2*C56</f>
        <v>-3750</v>
      </c>
      <c r="G56" s="261">
        <f>+F56-H56</f>
        <v>0</v>
      </c>
      <c r="H56" s="262">
        <f>O56/12*D2</f>
        <v>-3750</v>
      </c>
      <c r="I56" s="262">
        <f>O56</f>
        <v>-4500</v>
      </c>
      <c r="J56" s="334">
        <v>-4500</v>
      </c>
      <c r="K56" s="334">
        <f t="shared" si="30"/>
        <v>0</v>
      </c>
      <c r="L56" s="160"/>
      <c r="M56" s="210" t="s">
        <v>905</v>
      </c>
      <c r="N56" s="334">
        <v>-4500</v>
      </c>
      <c r="O56" s="202">
        <v>-4500</v>
      </c>
      <c r="P56" s="171">
        <v>-375</v>
      </c>
      <c r="Q56" s="171">
        <v>-375</v>
      </c>
      <c r="R56" s="171">
        <v>-375</v>
      </c>
      <c r="S56" s="171">
        <v>-375</v>
      </c>
      <c r="T56" s="171">
        <v>-375</v>
      </c>
      <c r="U56" s="171">
        <v>-375</v>
      </c>
      <c r="V56" s="171">
        <v>-375</v>
      </c>
      <c r="W56" s="171">
        <v>-375</v>
      </c>
      <c r="X56" s="171">
        <v>-375</v>
      </c>
      <c r="Y56" s="171">
        <v>-375</v>
      </c>
      <c r="Z56" s="171">
        <v>-375</v>
      </c>
      <c r="AA56" s="171">
        <v>-375</v>
      </c>
      <c r="AB56" s="163">
        <f>SUM(P56:AA56)</f>
        <v>-4500</v>
      </c>
      <c r="AC56" s="190" t="b">
        <f>AB56=O56</f>
        <v>1</v>
      </c>
      <c r="AD56" s="85"/>
    </row>
    <row r="57" spans="2:30" ht="12.75" customHeight="1" x14ac:dyDescent="0.25">
      <c r="B57" s="188" t="s">
        <v>1050</v>
      </c>
      <c r="C57" s="287">
        <f>SUM(C49:C56)</f>
        <v>-15351.76</v>
      </c>
      <c r="D57" s="258">
        <f>+C57-E57</f>
        <v>-5276.7599999999984</v>
      </c>
      <c r="E57" s="288">
        <f>SUM(E49:E56)</f>
        <v>-10075.000000000002</v>
      </c>
      <c r="F57" s="287">
        <f>SUM(F49:F56)</f>
        <v>-89289.96</v>
      </c>
      <c r="G57" s="258">
        <f>+F57-H57</f>
        <v>11460.039999999994</v>
      </c>
      <c r="H57" s="287">
        <f>SUM(H49:H56)</f>
        <v>-100750</v>
      </c>
      <c r="I57" s="287">
        <f>SUM(I49:I56)</f>
        <v>-120900</v>
      </c>
      <c r="J57" s="287">
        <v>-108717.47</v>
      </c>
      <c r="K57" s="287">
        <f t="shared" si="30"/>
        <v>12182.529999999999</v>
      </c>
      <c r="L57" s="160"/>
      <c r="M57" s="207" t="s">
        <v>1028</v>
      </c>
      <c r="N57" s="287">
        <v>-108717.47</v>
      </c>
      <c r="O57" s="236">
        <f>SUM(O49:O56)</f>
        <v>-120900</v>
      </c>
      <c r="P57" s="236">
        <f t="shared" ref="P57:AB57" si="32">SUM(P49:P56)</f>
        <v>-10075.000000000002</v>
      </c>
      <c r="Q57" s="236">
        <f t="shared" si="32"/>
        <v>-10075.000000000002</v>
      </c>
      <c r="R57" s="236">
        <f t="shared" si="32"/>
        <v>-10075.000000000002</v>
      </c>
      <c r="S57" s="236">
        <f t="shared" si="32"/>
        <v>-10075.000000000002</v>
      </c>
      <c r="T57" s="236">
        <f t="shared" si="32"/>
        <v>-10075.000000000002</v>
      </c>
      <c r="U57" s="236">
        <f t="shared" si="32"/>
        <v>-10075.000000000002</v>
      </c>
      <c r="V57" s="236">
        <f t="shared" si="32"/>
        <v>-10075.000000000002</v>
      </c>
      <c r="W57" s="236">
        <f t="shared" si="32"/>
        <v>-10075.000000000002</v>
      </c>
      <c r="X57" s="236">
        <f t="shared" si="32"/>
        <v>-10075.000000000002</v>
      </c>
      <c r="Y57" s="236">
        <f t="shared" si="32"/>
        <v>-10075.000000000002</v>
      </c>
      <c r="Z57" s="236">
        <f t="shared" si="32"/>
        <v>-10075.000000000002</v>
      </c>
      <c r="AA57" s="236">
        <f t="shared" si="32"/>
        <v>-10075.000000000002</v>
      </c>
      <c r="AB57" s="236">
        <f t="shared" si="32"/>
        <v>-120900</v>
      </c>
      <c r="AC57" s="193" t="b">
        <f>AB57=O57</f>
        <v>1</v>
      </c>
      <c r="AD57" s="85"/>
    </row>
    <row r="58" spans="2:30" ht="12.75" customHeight="1" x14ac:dyDescent="0.2">
      <c r="B58" s="186"/>
      <c r="C58" s="260"/>
      <c r="D58" s="261"/>
      <c r="E58" s="262"/>
      <c r="F58" s="260"/>
      <c r="G58" s="261"/>
      <c r="H58" s="262"/>
      <c r="I58" s="262"/>
      <c r="J58" s="338"/>
      <c r="K58" s="338"/>
      <c r="L58" s="160"/>
      <c r="M58" s="210"/>
      <c r="N58" s="338"/>
      <c r="O58" s="202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63"/>
      <c r="AC58" s="191"/>
      <c r="AD58" s="85"/>
    </row>
    <row r="59" spans="2:30" ht="12.75" customHeight="1" x14ac:dyDescent="0.25">
      <c r="B59" s="188" t="s">
        <v>1023</v>
      </c>
      <c r="C59" s="287"/>
      <c r="D59" s="258"/>
      <c r="E59" s="288"/>
      <c r="F59" s="287"/>
      <c r="G59" s="258"/>
      <c r="H59" s="288"/>
      <c r="I59" s="288"/>
      <c r="J59" s="288"/>
      <c r="K59" s="288"/>
      <c r="L59" s="160"/>
      <c r="M59" s="207" t="s">
        <v>1023</v>
      </c>
      <c r="N59" s="288"/>
      <c r="O59" s="200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70"/>
      <c r="AC59" s="193"/>
      <c r="AD59" s="85"/>
    </row>
    <row r="60" spans="2:30" ht="12.75" customHeight="1" x14ac:dyDescent="0.2">
      <c r="B60" s="186" t="s">
        <v>772</v>
      </c>
      <c r="C60" s="260">
        <f>-'TB (2) - October'!D108-'TB (2) - October'!D105</f>
        <v>0</v>
      </c>
      <c r="D60" s="261">
        <f>+C60-E60</f>
        <v>0</v>
      </c>
      <c r="E60" s="262">
        <f>X60</f>
        <v>0</v>
      </c>
      <c r="F60" s="260">
        <f>-TB!D108-TB!D105</f>
        <v>-13496.26</v>
      </c>
      <c r="G60" s="261">
        <f>+F60-H60</f>
        <v>-5996.26</v>
      </c>
      <c r="H60" s="262">
        <f>ROUND(SUMIF($P$5:$AA$5,"&lt;="&amp;$B$3,P60:AA60),2)</f>
        <v>-7500</v>
      </c>
      <c r="I60" s="262">
        <v>-7500</v>
      </c>
      <c r="J60" s="334">
        <v>-10496.26</v>
      </c>
      <c r="K60" s="334">
        <f t="shared" ref="K60:K61" si="33">J60-I60</f>
        <v>-2996.26</v>
      </c>
      <c r="L60" s="160"/>
      <c r="M60" s="210" t="s">
        <v>772</v>
      </c>
      <c r="N60" s="334">
        <v>-10496.26</v>
      </c>
      <c r="O60" s="202">
        <v>-7500</v>
      </c>
      <c r="P60" s="171"/>
      <c r="Q60" s="171"/>
      <c r="R60" s="171"/>
      <c r="S60" s="171">
        <v>-951</v>
      </c>
      <c r="T60" s="171">
        <v>-5249</v>
      </c>
      <c r="U60" s="171">
        <v>-1300</v>
      </c>
      <c r="V60" s="171"/>
      <c r="W60" s="171"/>
      <c r="X60" s="171"/>
      <c r="Y60" s="171"/>
      <c r="Z60" s="171"/>
      <c r="AA60" s="171"/>
      <c r="AB60" s="163">
        <f>SUM(P60:AA60)</f>
        <v>-7500</v>
      </c>
      <c r="AC60" s="191" t="b">
        <f>AB60=O60</f>
        <v>1</v>
      </c>
      <c r="AD60" s="85"/>
    </row>
    <row r="61" spans="2:30" ht="12.75" customHeight="1" x14ac:dyDescent="0.25">
      <c r="B61" s="188" t="s">
        <v>1026</v>
      </c>
      <c r="C61" s="380">
        <f>SUM(C59:C60)</f>
        <v>0</v>
      </c>
      <c r="D61" s="264">
        <f>+C61-E61</f>
        <v>0</v>
      </c>
      <c r="E61" s="289">
        <f>SUM(E59:E60)</f>
        <v>0</v>
      </c>
      <c r="F61" s="289">
        <f>SUM(F59:F60)</f>
        <v>-13496.26</v>
      </c>
      <c r="G61" s="264">
        <f>+F61-H61</f>
        <v>-5996.26</v>
      </c>
      <c r="H61" s="289">
        <f>SUM(H59:H60)</f>
        <v>-7500</v>
      </c>
      <c r="I61" s="289">
        <f>SUM(I60)</f>
        <v>-7500</v>
      </c>
      <c r="J61" s="289">
        <v>-10496.26</v>
      </c>
      <c r="K61" s="289">
        <f t="shared" si="33"/>
        <v>-2996.26</v>
      </c>
      <c r="L61" s="160"/>
      <c r="M61" s="207" t="s">
        <v>1026</v>
      </c>
      <c r="N61" s="289">
        <v>-10496.26</v>
      </c>
      <c r="O61" s="237">
        <f>SUM(O59:O60)</f>
        <v>-7500</v>
      </c>
      <c r="P61" s="237">
        <f t="shared" ref="P61:AB61" si="34">SUM(P59:P60)</f>
        <v>0</v>
      </c>
      <c r="Q61" s="237">
        <f t="shared" si="34"/>
        <v>0</v>
      </c>
      <c r="R61" s="237">
        <f t="shared" si="34"/>
        <v>0</v>
      </c>
      <c r="S61" s="237">
        <f t="shared" si="34"/>
        <v>-951</v>
      </c>
      <c r="T61" s="237">
        <f t="shared" si="34"/>
        <v>-5249</v>
      </c>
      <c r="U61" s="237">
        <f t="shared" si="34"/>
        <v>-1300</v>
      </c>
      <c r="V61" s="237">
        <f t="shared" si="34"/>
        <v>0</v>
      </c>
      <c r="W61" s="237">
        <f t="shared" si="34"/>
        <v>0</v>
      </c>
      <c r="X61" s="237">
        <f t="shared" si="34"/>
        <v>0</v>
      </c>
      <c r="Y61" s="237">
        <f t="shared" si="34"/>
        <v>0</v>
      </c>
      <c r="Z61" s="237">
        <f t="shared" si="34"/>
        <v>0</v>
      </c>
      <c r="AA61" s="237">
        <f t="shared" si="34"/>
        <v>0</v>
      </c>
      <c r="AB61" s="237">
        <f t="shared" si="34"/>
        <v>-7500</v>
      </c>
      <c r="AC61" s="238" t="b">
        <f t="shared" ref="AC61" si="35">AB61=O61</f>
        <v>1</v>
      </c>
      <c r="AD61" s="85"/>
    </row>
    <row r="62" spans="2:30" ht="12.75" customHeight="1" x14ac:dyDescent="0.2">
      <c r="B62" s="186"/>
      <c r="C62" s="260"/>
      <c r="D62" s="261"/>
      <c r="E62" s="262"/>
      <c r="F62" s="260"/>
      <c r="G62" s="261"/>
      <c r="H62" s="262"/>
      <c r="I62" s="262"/>
      <c r="J62" s="338"/>
      <c r="K62" s="338"/>
      <c r="L62" s="160"/>
      <c r="M62" s="210"/>
      <c r="N62" s="338"/>
      <c r="O62" s="202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63"/>
      <c r="AC62" s="191"/>
      <c r="AD62" s="85"/>
    </row>
    <row r="63" spans="2:30" ht="12.75" customHeight="1" x14ac:dyDescent="0.25">
      <c r="B63" s="188" t="s">
        <v>1034</v>
      </c>
      <c r="C63" s="285"/>
      <c r="D63" s="269"/>
      <c r="E63" s="286"/>
      <c r="F63" s="285"/>
      <c r="G63" s="258"/>
      <c r="H63" s="286"/>
      <c r="I63" s="286"/>
      <c r="J63" s="286"/>
      <c r="K63" s="286"/>
      <c r="L63" s="160"/>
      <c r="M63" s="207" t="s">
        <v>1034</v>
      </c>
      <c r="N63" s="286"/>
      <c r="O63" s="23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70"/>
      <c r="AC63" s="240"/>
      <c r="AD63" s="85"/>
    </row>
    <row r="64" spans="2:30" ht="12.75" customHeight="1" x14ac:dyDescent="0.2">
      <c r="B64" s="187" t="s">
        <v>1035</v>
      </c>
      <c r="C64" s="271"/>
      <c r="D64" s="261"/>
      <c r="E64" s="272"/>
      <c r="F64" s="271"/>
      <c r="G64" s="261"/>
      <c r="H64" s="272"/>
      <c r="I64" s="272"/>
      <c r="J64" s="336"/>
      <c r="K64" s="336"/>
      <c r="L64" s="160"/>
      <c r="M64" s="213" t="s">
        <v>1035</v>
      </c>
      <c r="N64" s="336"/>
      <c r="O64" s="20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63"/>
      <c r="AC64" s="191"/>
      <c r="AD64" s="85"/>
    </row>
    <row r="65" spans="2:30" ht="12.75" customHeight="1" x14ac:dyDescent="0.2">
      <c r="B65" s="186" t="s">
        <v>773</v>
      </c>
      <c r="C65" s="260">
        <f>-'TB (2) - October'!D79-'TB (2) - October'!D80-'TB (2) - October'!D81-'TB (2) - October'!D82-'TB (2) - October'!D83</f>
        <v>-263.14</v>
      </c>
      <c r="D65" s="261">
        <f>+C65-E65</f>
        <v>278.52666666666664</v>
      </c>
      <c r="E65" s="262">
        <f>S65</f>
        <v>-541.66666666666663</v>
      </c>
      <c r="F65" s="260">
        <f>-TB!D79-TB!D80-TB!D81-TB!D82-TB!D83</f>
        <v>-5245.5</v>
      </c>
      <c r="G65" s="261">
        <f>+F65-H65</f>
        <v>171.17000000000007</v>
      </c>
      <c r="H65" s="262">
        <f>ROUND(SUMIF($P$5:$AA$5,"&lt;="&amp;$B$3,P65:AA65),2)</f>
        <v>-5416.67</v>
      </c>
      <c r="I65" s="262">
        <v>-6500</v>
      </c>
      <c r="J65" s="334">
        <v>-6577.2800000000007</v>
      </c>
      <c r="K65" s="334">
        <f t="shared" ref="K65:K67" si="36">J65-I65</f>
        <v>-77.280000000000655</v>
      </c>
      <c r="L65" s="160"/>
      <c r="M65" s="210" t="s">
        <v>773</v>
      </c>
      <c r="N65" s="334">
        <v>-6577.2800000000007</v>
      </c>
      <c r="O65" s="202">
        <v>-6500</v>
      </c>
      <c r="P65" s="171">
        <f t="shared" ref="P65:AA67" si="37">$O65/12</f>
        <v>-541.66666666666663</v>
      </c>
      <c r="Q65" s="171">
        <f t="shared" si="37"/>
        <v>-541.66666666666663</v>
      </c>
      <c r="R65" s="171">
        <f t="shared" si="37"/>
        <v>-541.66666666666663</v>
      </c>
      <c r="S65" s="171">
        <f t="shared" si="37"/>
        <v>-541.66666666666663</v>
      </c>
      <c r="T65" s="171">
        <f t="shared" si="37"/>
        <v>-541.66666666666663</v>
      </c>
      <c r="U65" s="171">
        <f t="shared" si="37"/>
        <v>-541.66666666666663</v>
      </c>
      <c r="V65" s="171">
        <f t="shared" si="37"/>
        <v>-541.66666666666663</v>
      </c>
      <c r="W65" s="171">
        <f t="shared" si="37"/>
        <v>-541.66666666666663</v>
      </c>
      <c r="X65" s="171">
        <f t="shared" si="37"/>
        <v>-541.66666666666663</v>
      </c>
      <c r="Y65" s="171">
        <f t="shared" si="37"/>
        <v>-541.66666666666663</v>
      </c>
      <c r="Z65" s="171">
        <f t="shared" si="37"/>
        <v>-541.66666666666663</v>
      </c>
      <c r="AA65" s="171">
        <f t="shared" si="37"/>
        <v>-541.66666666666663</v>
      </c>
      <c r="AB65" s="163">
        <f>SUM(P65:AA65)</f>
        <v>-6500.0000000000009</v>
      </c>
      <c r="AC65" s="191" t="b">
        <f>AB65=O65</f>
        <v>1</v>
      </c>
      <c r="AD65" s="85"/>
    </row>
    <row r="66" spans="2:30" ht="12.75" customHeight="1" x14ac:dyDescent="0.2">
      <c r="B66" s="186" t="s">
        <v>777</v>
      </c>
      <c r="C66" s="260">
        <f>-'TB (2) - October'!D98-'TB (2) - October'!D97</f>
        <v>-346.79</v>
      </c>
      <c r="D66" s="261">
        <f>+C66-E66</f>
        <v>908.71</v>
      </c>
      <c r="E66" s="262">
        <f>S66</f>
        <v>-1255.5</v>
      </c>
      <c r="F66" s="260">
        <f>-TB!D98-TB!D97</f>
        <v>-7460.21</v>
      </c>
      <c r="G66" s="261">
        <f>+F66-H66</f>
        <v>5094.79</v>
      </c>
      <c r="H66" s="262">
        <f>ROUND(SUMIF($P$5:$AA$5,"&lt;="&amp;$B$3,P66:AA66),2)</f>
        <v>-12555</v>
      </c>
      <c r="I66" s="262">
        <v>-15066</v>
      </c>
      <c r="J66" s="334">
        <v>-15112.35</v>
      </c>
      <c r="K66" s="334">
        <f t="shared" si="36"/>
        <v>-46.350000000000364</v>
      </c>
      <c r="L66" s="160"/>
      <c r="M66" s="210" t="s">
        <v>777</v>
      </c>
      <c r="N66" s="334">
        <v>-15112.35</v>
      </c>
      <c r="O66" s="202">
        <v>-15066</v>
      </c>
      <c r="P66" s="171">
        <f t="shared" si="37"/>
        <v>-1255.5</v>
      </c>
      <c r="Q66" s="171">
        <f t="shared" si="37"/>
        <v>-1255.5</v>
      </c>
      <c r="R66" s="171">
        <f t="shared" si="37"/>
        <v>-1255.5</v>
      </c>
      <c r="S66" s="171">
        <f t="shared" si="37"/>
        <v>-1255.5</v>
      </c>
      <c r="T66" s="171">
        <f t="shared" si="37"/>
        <v>-1255.5</v>
      </c>
      <c r="U66" s="171">
        <f t="shared" si="37"/>
        <v>-1255.5</v>
      </c>
      <c r="V66" s="171">
        <f t="shared" si="37"/>
        <v>-1255.5</v>
      </c>
      <c r="W66" s="171">
        <f t="shared" si="37"/>
        <v>-1255.5</v>
      </c>
      <c r="X66" s="171">
        <f t="shared" si="37"/>
        <v>-1255.5</v>
      </c>
      <c r="Y66" s="171">
        <f t="shared" si="37"/>
        <v>-1255.5</v>
      </c>
      <c r="Z66" s="171">
        <f t="shared" si="37"/>
        <v>-1255.5</v>
      </c>
      <c r="AA66" s="171">
        <f t="shared" si="37"/>
        <v>-1255.5</v>
      </c>
      <c r="AB66" s="163">
        <f>SUM(P66:AA66)</f>
        <v>-15066</v>
      </c>
      <c r="AC66" s="190" t="b">
        <f>AB66=O66</f>
        <v>1</v>
      </c>
      <c r="AD66" s="85"/>
    </row>
    <row r="67" spans="2:30" ht="12.75" customHeight="1" x14ac:dyDescent="0.2">
      <c r="B67" s="186" t="s">
        <v>771</v>
      </c>
      <c r="C67" s="260">
        <f>-'TB (2) - October'!D84-'TB (2) - October'!D95-'TB (2) - October'!D86-'TB (2) - October'!D85</f>
        <v>-78</v>
      </c>
      <c r="D67" s="261">
        <f>+C67-E67</f>
        <v>338.66666666666669</v>
      </c>
      <c r="E67" s="262">
        <f>S67</f>
        <v>-416.66666666666669</v>
      </c>
      <c r="F67" s="260">
        <f>-TB!D84-TB!D95-TB!D86-TB!D85</f>
        <v>-2959.27</v>
      </c>
      <c r="G67" s="261">
        <f>+F67-H67</f>
        <v>1207.4000000000001</v>
      </c>
      <c r="H67" s="262">
        <f>ROUND(SUMIF($P$5:$AA$5,"&lt;="&amp;$B$3,P67:AA67),2)</f>
        <v>-4166.67</v>
      </c>
      <c r="I67" s="262">
        <v>-5000</v>
      </c>
      <c r="J67" s="334">
        <v>-4999.6000000000004</v>
      </c>
      <c r="K67" s="334">
        <f t="shared" si="36"/>
        <v>0.3999999999996362</v>
      </c>
      <c r="L67" s="181"/>
      <c r="M67" s="210" t="s">
        <v>771</v>
      </c>
      <c r="N67" s="334">
        <v>-4999.6000000000004</v>
      </c>
      <c r="O67" s="202">
        <v>-5000</v>
      </c>
      <c r="P67" s="171">
        <f t="shared" si="37"/>
        <v>-416.66666666666669</v>
      </c>
      <c r="Q67" s="171">
        <f t="shared" si="37"/>
        <v>-416.66666666666669</v>
      </c>
      <c r="R67" s="171">
        <f t="shared" si="37"/>
        <v>-416.66666666666669</v>
      </c>
      <c r="S67" s="171">
        <f t="shared" si="37"/>
        <v>-416.66666666666669</v>
      </c>
      <c r="T67" s="171">
        <f t="shared" si="37"/>
        <v>-416.66666666666669</v>
      </c>
      <c r="U67" s="171">
        <f t="shared" si="37"/>
        <v>-416.66666666666669</v>
      </c>
      <c r="V67" s="171">
        <f t="shared" si="37"/>
        <v>-416.66666666666669</v>
      </c>
      <c r="W67" s="171">
        <f t="shared" si="37"/>
        <v>-416.66666666666669</v>
      </c>
      <c r="X67" s="171">
        <f t="shared" si="37"/>
        <v>-416.66666666666669</v>
      </c>
      <c r="Y67" s="171">
        <f t="shared" si="37"/>
        <v>-416.66666666666669</v>
      </c>
      <c r="Z67" s="171">
        <f t="shared" si="37"/>
        <v>-416.66666666666669</v>
      </c>
      <c r="AA67" s="171">
        <f t="shared" si="37"/>
        <v>-416.66666666666669</v>
      </c>
      <c r="AB67" s="163">
        <f>SUM(P67:AA67)</f>
        <v>-5000</v>
      </c>
      <c r="AC67" s="190" t="b">
        <f>AB67=O67</f>
        <v>1</v>
      </c>
      <c r="AD67" s="85"/>
    </row>
    <row r="68" spans="2:30" ht="12.75" customHeight="1" x14ac:dyDescent="0.2">
      <c r="B68" s="186"/>
      <c r="C68" s="290"/>
      <c r="D68" s="261"/>
      <c r="E68" s="291"/>
      <c r="F68" s="290"/>
      <c r="G68" s="261"/>
      <c r="H68" s="291"/>
      <c r="I68" s="291"/>
      <c r="J68" s="339"/>
      <c r="K68" s="339"/>
      <c r="L68" s="160"/>
      <c r="M68" s="210"/>
      <c r="N68" s="339"/>
      <c r="O68" s="203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72"/>
      <c r="AC68" s="190"/>
      <c r="AD68" s="85"/>
    </row>
    <row r="69" spans="2:30" ht="12.75" customHeight="1" x14ac:dyDescent="0.2">
      <c r="B69" s="187" t="s">
        <v>1036</v>
      </c>
      <c r="C69" s="290"/>
      <c r="D69" s="261"/>
      <c r="E69" s="291"/>
      <c r="F69" s="290"/>
      <c r="G69" s="261"/>
      <c r="H69" s="291"/>
      <c r="I69" s="291"/>
      <c r="J69" s="339"/>
      <c r="K69" s="339"/>
      <c r="L69" s="160"/>
      <c r="M69" s="213" t="s">
        <v>1036</v>
      </c>
      <c r="N69" s="339"/>
      <c r="O69" s="203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72"/>
      <c r="AC69" s="190"/>
      <c r="AD69" s="85"/>
    </row>
    <row r="70" spans="2:30" ht="12.75" customHeight="1" x14ac:dyDescent="0.2">
      <c r="B70" s="186" t="s">
        <v>1071</v>
      </c>
      <c r="C70" s="260">
        <f>-'TB (2) - October'!D72-'TB (2) - October'!D88-'TB (2) - October'!D89-'TB (2) - October'!D90-'TB (2) - October'!D87</f>
        <v>-395.09000000000003</v>
      </c>
      <c r="D70" s="261">
        <f>+C70-E70</f>
        <v>104.90999999999997</v>
      </c>
      <c r="E70" s="262">
        <f>S70</f>
        <v>-500</v>
      </c>
      <c r="F70" s="260">
        <f>-TB!D72-TB!D88-TB!D89-TB!D90-TB!D87</f>
        <v>-5186.7800000000007</v>
      </c>
      <c r="G70" s="261">
        <f>+F70-H70</f>
        <v>-186.78000000000065</v>
      </c>
      <c r="H70" s="262">
        <f>ROUND(SUMIF($P$5:$AA$5,"&lt;="&amp;$B$3,P70:AA70),2)</f>
        <v>-5000</v>
      </c>
      <c r="I70" s="262">
        <v>-6000</v>
      </c>
      <c r="J70" s="334">
        <v>-5999.53</v>
      </c>
      <c r="K70" s="334">
        <f t="shared" ref="K70" si="38">J70-I70</f>
        <v>0.47000000000025466</v>
      </c>
      <c r="L70" s="181"/>
      <c r="M70" s="210" t="s">
        <v>778</v>
      </c>
      <c r="N70" s="334">
        <v>-5999.53</v>
      </c>
      <c r="O70" s="202">
        <v>-6000</v>
      </c>
      <c r="P70" s="171">
        <f t="shared" ref="P70:AA70" si="39">$O70/12</f>
        <v>-500</v>
      </c>
      <c r="Q70" s="171">
        <f t="shared" si="39"/>
        <v>-500</v>
      </c>
      <c r="R70" s="171">
        <f t="shared" si="39"/>
        <v>-500</v>
      </c>
      <c r="S70" s="171">
        <f t="shared" si="39"/>
        <v>-500</v>
      </c>
      <c r="T70" s="171">
        <f t="shared" si="39"/>
        <v>-500</v>
      </c>
      <c r="U70" s="171">
        <f t="shared" si="39"/>
        <v>-500</v>
      </c>
      <c r="V70" s="171">
        <f t="shared" si="39"/>
        <v>-500</v>
      </c>
      <c r="W70" s="171">
        <f t="shared" si="39"/>
        <v>-500</v>
      </c>
      <c r="X70" s="171">
        <f t="shared" si="39"/>
        <v>-500</v>
      </c>
      <c r="Y70" s="171">
        <f t="shared" si="39"/>
        <v>-500</v>
      </c>
      <c r="Z70" s="171">
        <f t="shared" si="39"/>
        <v>-500</v>
      </c>
      <c r="AA70" s="171">
        <f t="shared" si="39"/>
        <v>-500</v>
      </c>
      <c r="AB70" s="163">
        <f>SUM(P70:AA70)</f>
        <v>-6000</v>
      </c>
      <c r="AC70" s="190" t="b">
        <f>AB70=O70</f>
        <v>1</v>
      </c>
      <c r="AD70" s="85"/>
    </row>
    <row r="71" spans="2:30" ht="12.75" customHeight="1" x14ac:dyDescent="0.2">
      <c r="B71" s="186"/>
      <c r="C71" s="260"/>
      <c r="D71" s="261"/>
      <c r="E71" s="262"/>
      <c r="F71" s="260"/>
      <c r="G71" s="261"/>
      <c r="H71" s="262"/>
      <c r="I71" s="262"/>
      <c r="J71" s="338"/>
      <c r="K71" s="338"/>
      <c r="L71" s="160"/>
      <c r="M71" s="210"/>
      <c r="N71" s="338"/>
      <c r="O71" s="202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63"/>
      <c r="AC71" s="190"/>
      <c r="AD71" s="85"/>
    </row>
    <row r="72" spans="2:30" ht="12.75" customHeight="1" x14ac:dyDescent="0.2">
      <c r="B72" s="187" t="s">
        <v>97</v>
      </c>
      <c r="C72" s="260"/>
      <c r="D72" s="261"/>
      <c r="E72" s="262"/>
      <c r="F72" s="260"/>
      <c r="G72" s="261"/>
      <c r="H72" s="262"/>
      <c r="I72" s="262"/>
      <c r="J72" s="338"/>
      <c r="K72" s="338"/>
      <c r="L72" s="160"/>
      <c r="M72" s="213" t="s">
        <v>97</v>
      </c>
      <c r="N72" s="338"/>
      <c r="O72" s="202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63"/>
      <c r="AC72" s="190"/>
      <c r="AD72" s="85"/>
    </row>
    <row r="73" spans="2:30" ht="12.75" customHeight="1" x14ac:dyDescent="0.2">
      <c r="B73" s="186" t="s">
        <v>97</v>
      </c>
      <c r="C73" s="260">
        <f>-'TB (2) - October'!D96</f>
        <v>-5246.45</v>
      </c>
      <c r="D73" s="261">
        <f>+C73-E73</f>
        <v>-2301.1166666666663</v>
      </c>
      <c r="E73" s="262">
        <f>S73</f>
        <v>-2945.3333333333335</v>
      </c>
      <c r="F73" s="260">
        <f>-TB!D96</f>
        <v>-36758.449999999997</v>
      </c>
      <c r="G73" s="261">
        <f>+F73-H73</f>
        <v>-7305.1199999999953</v>
      </c>
      <c r="H73" s="262">
        <f>ROUND(SUMIF($P$5:$AA$5,"&lt;="&amp;$B$3,P73:AA73),2)</f>
        <v>-29453.33</v>
      </c>
      <c r="I73" s="262">
        <v>-35344</v>
      </c>
      <c r="J73" s="334">
        <v>-39844</v>
      </c>
      <c r="K73" s="334">
        <f t="shared" ref="K73" si="40">J73-I73</f>
        <v>-4500</v>
      </c>
      <c r="L73" s="160"/>
      <c r="M73" s="210" t="s">
        <v>97</v>
      </c>
      <c r="N73" s="334">
        <v>-39844</v>
      </c>
      <c r="O73" s="202">
        <v>-35344</v>
      </c>
      <c r="P73" s="171">
        <f t="shared" ref="P73:AA73" si="41">$O73/12</f>
        <v>-2945.3333333333335</v>
      </c>
      <c r="Q73" s="171">
        <f t="shared" si="41"/>
        <v>-2945.3333333333335</v>
      </c>
      <c r="R73" s="171">
        <f t="shared" si="41"/>
        <v>-2945.3333333333335</v>
      </c>
      <c r="S73" s="171">
        <f t="shared" si="41"/>
        <v>-2945.3333333333335</v>
      </c>
      <c r="T73" s="171">
        <f t="shared" si="41"/>
        <v>-2945.3333333333335</v>
      </c>
      <c r="U73" s="171">
        <f t="shared" si="41"/>
        <v>-2945.3333333333335</v>
      </c>
      <c r="V73" s="171">
        <f t="shared" si="41"/>
        <v>-2945.3333333333335</v>
      </c>
      <c r="W73" s="171">
        <f t="shared" si="41"/>
        <v>-2945.3333333333335</v>
      </c>
      <c r="X73" s="171">
        <f t="shared" si="41"/>
        <v>-2945.3333333333335</v>
      </c>
      <c r="Y73" s="171">
        <f t="shared" si="41"/>
        <v>-2945.3333333333335</v>
      </c>
      <c r="Z73" s="171">
        <f t="shared" si="41"/>
        <v>-2945.3333333333335</v>
      </c>
      <c r="AA73" s="171">
        <f t="shared" si="41"/>
        <v>-2945.3333333333335</v>
      </c>
      <c r="AB73" s="163">
        <f>SUM(P73:AA73)</f>
        <v>-35343.999999999993</v>
      </c>
      <c r="AC73" s="190" t="b">
        <f>AB73=O73</f>
        <v>1</v>
      </c>
      <c r="AD73" s="85"/>
    </row>
    <row r="74" spans="2:30" ht="12.75" customHeight="1" x14ac:dyDescent="0.2">
      <c r="B74" s="186"/>
      <c r="C74" s="290"/>
      <c r="D74" s="261"/>
      <c r="E74" s="291"/>
      <c r="F74" s="290"/>
      <c r="G74" s="261"/>
      <c r="H74" s="291"/>
      <c r="I74" s="291"/>
      <c r="J74" s="339"/>
      <c r="K74" s="339"/>
      <c r="L74" s="160"/>
      <c r="M74" s="210"/>
      <c r="N74" s="339"/>
      <c r="O74" s="203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72"/>
      <c r="AC74" s="190"/>
      <c r="AD74" s="85"/>
    </row>
    <row r="75" spans="2:30" ht="12.75" customHeight="1" x14ac:dyDescent="0.2">
      <c r="B75" s="187" t="s">
        <v>1037</v>
      </c>
      <c r="C75" s="290"/>
      <c r="D75" s="261"/>
      <c r="E75" s="291"/>
      <c r="F75" s="290"/>
      <c r="G75" s="261"/>
      <c r="H75" s="291"/>
      <c r="I75" s="291"/>
      <c r="J75" s="339"/>
      <c r="K75" s="339"/>
      <c r="L75" s="160"/>
      <c r="M75" s="213" t="s">
        <v>1037</v>
      </c>
      <c r="N75" s="339"/>
      <c r="O75" s="203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72"/>
      <c r="AC75" s="190"/>
      <c r="AD75" s="85"/>
    </row>
    <row r="76" spans="2:30" ht="12.75" customHeight="1" x14ac:dyDescent="0.2">
      <c r="B76" s="186" t="s">
        <v>1040</v>
      </c>
      <c r="C76" s="260">
        <f>O76/12</f>
        <v>-708.33333333333337</v>
      </c>
      <c r="D76" s="261">
        <f>+C76-E76</f>
        <v>0</v>
      </c>
      <c r="E76" s="262">
        <f>O76/12</f>
        <v>-708.33333333333337</v>
      </c>
      <c r="F76" s="260">
        <f>O76/12*D2</f>
        <v>-7083.3333333333339</v>
      </c>
      <c r="G76" s="261">
        <f>+F76-H76</f>
        <v>0</v>
      </c>
      <c r="H76" s="262">
        <f>O76/12*D2</f>
        <v>-7083.3333333333339</v>
      </c>
      <c r="I76" s="262">
        <f>O76</f>
        <v>-8500</v>
      </c>
      <c r="J76" s="334">
        <v>-8500.3333333333339</v>
      </c>
      <c r="K76" s="334">
        <f t="shared" ref="K76" si="42">J76-I76</f>
        <v>-0.33333333333393966</v>
      </c>
      <c r="L76" s="160"/>
      <c r="M76" s="210" t="s">
        <v>1040</v>
      </c>
      <c r="N76" s="334">
        <v>-8500.3333333333339</v>
      </c>
      <c r="O76" s="202">
        <v>-8500</v>
      </c>
      <c r="P76" s="171">
        <f t="shared" ref="P76:AA76" si="43">$O76/12</f>
        <v>-708.33333333333337</v>
      </c>
      <c r="Q76" s="171">
        <f t="shared" si="43"/>
        <v>-708.33333333333337</v>
      </c>
      <c r="R76" s="171">
        <f t="shared" si="43"/>
        <v>-708.33333333333337</v>
      </c>
      <c r="S76" s="171">
        <f t="shared" si="43"/>
        <v>-708.33333333333337</v>
      </c>
      <c r="T76" s="171">
        <f t="shared" si="43"/>
        <v>-708.33333333333337</v>
      </c>
      <c r="U76" s="171">
        <f t="shared" si="43"/>
        <v>-708.33333333333337</v>
      </c>
      <c r="V76" s="171">
        <f t="shared" si="43"/>
        <v>-708.33333333333337</v>
      </c>
      <c r="W76" s="171">
        <f t="shared" si="43"/>
        <v>-708.33333333333337</v>
      </c>
      <c r="X76" s="171">
        <f t="shared" si="43"/>
        <v>-708.33333333333337</v>
      </c>
      <c r="Y76" s="171">
        <f t="shared" si="43"/>
        <v>-708.33333333333337</v>
      </c>
      <c r="Z76" s="171">
        <f t="shared" si="43"/>
        <v>-708.33333333333337</v>
      </c>
      <c r="AA76" s="171">
        <f t="shared" si="43"/>
        <v>-708.33333333333337</v>
      </c>
      <c r="AB76" s="163">
        <f>SUM(P76:AA76)</f>
        <v>-8499.9999999999982</v>
      </c>
      <c r="AC76" s="190" t="b">
        <f>AB76=O76</f>
        <v>1</v>
      </c>
      <c r="AD76" s="85"/>
    </row>
    <row r="77" spans="2:30" ht="12.75" customHeight="1" x14ac:dyDescent="0.2">
      <c r="B77" s="186"/>
      <c r="C77" s="260"/>
      <c r="D77" s="261"/>
      <c r="E77" s="262"/>
      <c r="F77" s="260"/>
      <c r="G77" s="261"/>
      <c r="H77" s="262"/>
      <c r="I77" s="262"/>
      <c r="J77" s="338"/>
      <c r="K77" s="338"/>
      <c r="L77" s="160"/>
      <c r="M77" s="214"/>
      <c r="N77" s="338"/>
      <c r="O77" s="204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94"/>
      <c r="AD77" s="85"/>
    </row>
    <row r="78" spans="2:30" ht="12.75" customHeight="1" x14ac:dyDescent="0.2">
      <c r="B78" s="187" t="s">
        <v>1038</v>
      </c>
      <c r="C78" s="290"/>
      <c r="D78" s="261"/>
      <c r="E78" s="291"/>
      <c r="F78" s="290"/>
      <c r="G78" s="261"/>
      <c r="H78" s="291"/>
      <c r="I78" s="291"/>
      <c r="J78" s="339"/>
      <c r="K78" s="339"/>
      <c r="L78" s="160"/>
      <c r="M78" s="213" t="s">
        <v>1038</v>
      </c>
      <c r="N78" s="339"/>
      <c r="O78" s="203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72"/>
      <c r="AC78" s="190"/>
      <c r="AD78" s="85"/>
    </row>
    <row r="79" spans="2:30" ht="12.75" customHeight="1" x14ac:dyDescent="0.2">
      <c r="B79" s="186" t="s">
        <v>930</v>
      </c>
      <c r="C79" s="260">
        <f>-'TB (2) - October'!D114-'TB (2) - October'!D116</f>
        <v>0</v>
      </c>
      <c r="D79" s="261">
        <f t="shared" si="29"/>
        <v>0</v>
      </c>
      <c r="E79" s="262">
        <f t="shared" ref="E79" si="44">S79</f>
        <v>0</v>
      </c>
      <c r="F79" s="260">
        <f>-TB!D114-TB!C116</f>
        <v>-355.51</v>
      </c>
      <c r="G79" s="261">
        <f>+F79-H79</f>
        <v>-355.51</v>
      </c>
      <c r="H79" s="262">
        <f>ROUND(SUMIF($P$5:$AA$5,"&lt;="&amp;$B$3,P79:AA79),2)</f>
        <v>0</v>
      </c>
      <c r="I79" s="262">
        <v>0</v>
      </c>
      <c r="J79" s="334">
        <v>-236.79</v>
      </c>
      <c r="K79" s="334">
        <f t="shared" ref="K79:K80" si="45">J79-I79</f>
        <v>-236.79</v>
      </c>
      <c r="L79" s="160"/>
      <c r="M79" s="210" t="s">
        <v>930</v>
      </c>
      <c r="N79" s="334">
        <v>-236.79</v>
      </c>
      <c r="O79" s="205">
        <v>0</v>
      </c>
      <c r="P79" s="171">
        <f t="shared" ref="P79:AA79" si="46">$O79/12</f>
        <v>0</v>
      </c>
      <c r="Q79" s="171">
        <f t="shared" si="46"/>
        <v>0</v>
      </c>
      <c r="R79" s="171">
        <f t="shared" si="46"/>
        <v>0</v>
      </c>
      <c r="S79" s="171">
        <f t="shared" si="46"/>
        <v>0</v>
      </c>
      <c r="T79" s="171">
        <f t="shared" si="46"/>
        <v>0</v>
      </c>
      <c r="U79" s="171">
        <f t="shared" si="46"/>
        <v>0</v>
      </c>
      <c r="V79" s="171">
        <f t="shared" si="46"/>
        <v>0</v>
      </c>
      <c r="W79" s="171">
        <f t="shared" si="46"/>
        <v>0</v>
      </c>
      <c r="X79" s="171">
        <f t="shared" si="46"/>
        <v>0</v>
      </c>
      <c r="Y79" s="171">
        <f t="shared" si="46"/>
        <v>0</v>
      </c>
      <c r="Z79" s="171">
        <f t="shared" si="46"/>
        <v>0</v>
      </c>
      <c r="AA79" s="171">
        <f t="shared" si="46"/>
        <v>0</v>
      </c>
      <c r="AB79" s="163">
        <f t="shared" ref="AB79" si="47">SUM(P79:AA79)</f>
        <v>0</v>
      </c>
      <c r="AC79" s="190" t="b">
        <f t="shared" ref="AC79:AC80" si="48">AB79=O79</f>
        <v>1</v>
      </c>
      <c r="AD79" s="85"/>
    </row>
    <row r="80" spans="2:30" ht="12.75" customHeight="1" thickBot="1" x14ac:dyDescent="0.3">
      <c r="B80" s="188" t="s">
        <v>1049</v>
      </c>
      <c r="C80" s="292">
        <f>SUM(C65:C79)</f>
        <v>-7037.8033333333324</v>
      </c>
      <c r="D80" s="264">
        <f>+C80-E80</f>
        <v>-670.30333333333328</v>
      </c>
      <c r="E80" s="289">
        <f>SUM(E65:E79)</f>
        <v>-6367.4999999999991</v>
      </c>
      <c r="F80" s="292">
        <f>SUM(F65:F79)</f>
        <v>-65049.053333333337</v>
      </c>
      <c r="G80" s="264">
        <f>+F80-H80</f>
        <v>-1374.0500000000029</v>
      </c>
      <c r="H80" s="289">
        <f>SUM(H65:H79)</f>
        <v>-63675.003333333334</v>
      </c>
      <c r="I80" s="289">
        <f>SUM(I65:I79)</f>
        <v>-76410</v>
      </c>
      <c r="J80" s="289">
        <v>-81269.883333333331</v>
      </c>
      <c r="K80" s="289">
        <f t="shared" si="45"/>
        <v>-4859.8833333333314</v>
      </c>
      <c r="L80" s="160"/>
      <c r="M80" s="207" t="s">
        <v>1049</v>
      </c>
      <c r="N80" s="289">
        <v>-81269.883333333331</v>
      </c>
      <c r="O80" s="237">
        <f>SUM(O64:O79)</f>
        <v>-76410</v>
      </c>
      <c r="P80" s="237">
        <f t="shared" ref="P80:AB80" si="49">SUM(P64:P79)</f>
        <v>-6367.4999999999991</v>
      </c>
      <c r="Q80" s="237">
        <f t="shared" si="49"/>
        <v>-6367.4999999999991</v>
      </c>
      <c r="R80" s="237">
        <f t="shared" si="49"/>
        <v>-6367.4999999999991</v>
      </c>
      <c r="S80" s="237">
        <f t="shared" si="49"/>
        <v>-6367.4999999999991</v>
      </c>
      <c r="T80" s="237">
        <f t="shared" si="49"/>
        <v>-6367.4999999999991</v>
      </c>
      <c r="U80" s="237">
        <f t="shared" si="49"/>
        <v>-6367.4999999999991</v>
      </c>
      <c r="V80" s="237">
        <f t="shared" si="49"/>
        <v>-6367.4999999999991</v>
      </c>
      <c r="W80" s="237">
        <f t="shared" si="49"/>
        <v>-6367.4999999999991</v>
      </c>
      <c r="X80" s="237">
        <f t="shared" si="49"/>
        <v>-6367.4999999999991</v>
      </c>
      <c r="Y80" s="237">
        <f t="shared" si="49"/>
        <v>-6367.4999999999991</v>
      </c>
      <c r="Z80" s="237">
        <f t="shared" si="49"/>
        <v>-6367.4999999999991</v>
      </c>
      <c r="AA80" s="237">
        <f t="shared" si="49"/>
        <v>-6367.4999999999991</v>
      </c>
      <c r="AB80" s="237">
        <f t="shared" si="49"/>
        <v>-76410</v>
      </c>
      <c r="AC80" s="238" t="b">
        <f t="shared" si="48"/>
        <v>1</v>
      </c>
      <c r="AD80" s="85"/>
    </row>
    <row r="81" spans="1:30" s="157" customFormat="1" ht="21.75" customHeight="1" thickBot="1" x14ac:dyDescent="0.35">
      <c r="A81" s="162"/>
      <c r="B81" s="360" t="s">
        <v>1043</v>
      </c>
      <c r="C81" s="280">
        <f>C57+C61+C80</f>
        <v>-22389.563333333332</v>
      </c>
      <c r="D81" s="280">
        <f>+C81-E81</f>
        <v>-5947.0633333333317</v>
      </c>
      <c r="E81" s="281">
        <f>E57+E61+E80</f>
        <v>-16442.5</v>
      </c>
      <c r="F81" s="280">
        <f>F57+F61+F80</f>
        <v>-167835.27333333335</v>
      </c>
      <c r="G81" s="280">
        <f>+F81-H81</f>
        <v>4089.7299999999814</v>
      </c>
      <c r="H81" s="281">
        <f>H57+H61+H80</f>
        <v>-171925.00333333333</v>
      </c>
      <c r="I81" s="281">
        <f>I57+I61+I80</f>
        <v>-204810</v>
      </c>
      <c r="J81" s="335">
        <v>-200483.61333333334</v>
      </c>
      <c r="K81" s="335">
        <f>J81-I81</f>
        <v>4326.3866666666581</v>
      </c>
      <c r="L81" s="160"/>
      <c r="M81" s="360" t="s">
        <v>1039</v>
      </c>
      <c r="N81" s="335">
        <v>-200483.61333333334</v>
      </c>
      <c r="O81" s="231">
        <f>O57+O61+O80</f>
        <v>-204810</v>
      </c>
      <c r="P81" s="231">
        <f t="shared" ref="P81:AB81" si="50">P57+P61+P80</f>
        <v>-16442.5</v>
      </c>
      <c r="Q81" s="231">
        <f t="shared" si="50"/>
        <v>-16442.5</v>
      </c>
      <c r="R81" s="231">
        <f t="shared" si="50"/>
        <v>-16442.5</v>
      </c>
      <c r="S81" s="231">
        <f t="shared" si="50"/>
        <v>-17393.5</v>
      </c>
      <c r="T81" s="231">
        <f t="shared" si="50"/>
        <v>-21691.5</v>
      </c>
      <c r="U81" s="231">
        <f t="shared" si="50"/>
        <v>-17742.5</v>
      </c>
      <c r="V81" s="231">
        <f t="shared" si="50"/>
        <v>-16442.5</v>
      </c>
      <c r="W81" s="231">
        <f t="shared" si="50"/>
        <v>-16442.5</v>
      </c>
      <c r="X81" s="231">
        <f t="shared" si="50"/>
        <v>-16442.5</v>
      </c>
      <c r="Y81" s="231">
        <f t="shared" si="50"/>
        <v>-16442.5</v>
      </c>
      <c r="Z81" s="231">
        <f t="shared" si="50"/>
        <v>-16442.5</v>
      </c>
      <c r="AA81" s="231">
        <f t="shared" si="50"/>
        <v>-16442.5</v>
      </c>
      <c r="AB81" s="231">
        <f t="shared" si="50"/>
        <v>-204810</v>
      </c>
      <c r="AC81" s="233" t="b">
        <f>AB81=O81</f>
        <v>1</v>
      </c>
      <c r="AD81" s="156"/>
    </row>
    <row r="82" spans="1:30" s="299" customFormat="1" ht="12.75" customHeight="1" thickBot="1" x14ac:dyDescent="0.25">
      <c r="A82" s="86"/>
      <c r="B82" s="158"/>
      <c r="C82" s="293"/>
      <c r="D82" s="293"/>
      <c r="E82" s="293"/>
      <c r="F82" s="293"/>
      <c r="G82" s="293"/>
      <c r="H82" s="293"/>
      <c r="I82" s="293"/>
      <c r="J82" s="340"/>
      <c r="K82" s="340"/>
      <c r="L82" s="160"/>
      <c r="M82" s="158"/>
      <c r="N82" s="340"/>
      <c r="O82" s="175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7"/>
      <c r="AC82" s="86"/>
      <c r="AD82" s="86"/>
    </row>
    <row r="83" spans="1:30" ht="12.75" customHeight="1" thickBot="1" x14ac:dyDescent="0.25">
      <c r="B83" s="250" t="s">
        <v>947</v>
      </c>
      <c r="C83" s="255">
        <f>C44+C81+C26</f>
        <v>-19529.143333333326</v>
      </c>
      <c r="D83" s="255">
        <f>+C83-E83</f>
        <v>-14257.976666666658</v>
      </c>
      <c r="E83" s="255">
        <f>E44+E81+E26</f>
        <v>-5271.1666666666679</v>
      </c>
      <c r="F83" s="255">
        <f>F44+F81+F26</f>
        <v>31718.796666666618</v>
      </c>
      <c r="G83" s="255">
        <f>+F83-H83</f>
        <v>7605.689999999915</v>
      </c>
      <c r="H83" s="326">
        <f>H44+H81+H26</f>
        <v>24113.106666666703</v>
      </c>
      <c r="I83" s="326">
        <f>I44+I81+I26</f>
        <v>23690</v>
      </c>
      <c r="J83" s="341">
        <v>26174.789999999994</v>
      </c>
      <c r="K83" s="341">
        <f>J83-I83</f>
        <v>2484.7899999999936</v>
      </c>
      <c r="L83" s="85"/>
      <c r="M83" s="217" t="s">
        <v>947</v>
      </c>
      <c r="N83" s="341">
        <v>26174.789999999994</v>
      </c>
      <c r="O83" s="215">
        <f>O44+O81+O26</f>
        <v>23690</v>
      </c>
      <c r="P83" s="215">
        <f t="shared" ref="P83:AB83" si="51">P44+P81+P26</f>
        <v>-7734.1666666666679</v>
      </c>
      <c r="Q83" s="215">
        <f t="shared" si="51"/>
        <v>65533.343333333323</v>
      </c>
      <c r="R83" s="215">
        <f t="shared" si="51"/>
        <v>7691.5433333333349</v>
      </c>
      <c r="S83" s="215">
        <f t="shared" si="51"/>
        <v>-6019.9666666666672</v>
      </c>
      <c r="T83" s="215">
        <f t="shared" si="51"/>
        <v>-8771.0366666666669</v>
      </c>
      <c r="U83" s="215">
        <f t="shared" si="51"/>
        <v>-5356.1666666666679</v>
      </c>
      <c r="V83" s="215">
        <f t="shared" si="51"/>
        <v>-2243.2866666666669</v>
      </c>
      <c r="W83" s="215">
        <f t="shared" si="51"/>
        <v>-1203.4866666666676</v>
      </c>
      <c r="X83" s="215">
        <f t="shared" si="51"/>
        <v>-5679.1666666666679</v>
      </c>
      <c r="Y83" s="215">
        <f t="shared" si="51"/>
        <v>-3771.1666666666679</v>
      </c>
      <c r="Z83" s="215">
        <f t="shared" si="51"/>
        <v>-5128.2166666666672</v>
      </c>
      <c r="AA83" s="215">
        <f t="shared" si="51"/>
        <v>-3628.2266666666674</v>
      </c>
      <c r="AB83" s="215">
        <f t="shared" si="51"/>
        <v>23690.000000000044</v>
      </c>
      <c r="AC83" s="233">
        <f>AB83-O83</f>
        <v>4.3655745685100555E-11</v>
      </c>
      <c r="AD83" s="85"/>
    </row>
    <row r="84" spans="1:30" ht="12.75" customHeight="1" x14ac:dyDescent="0.2">
      <c r="B84" s="86"/>
      <c r="C84" s="294"/>
      <c r="D84" s="294"/>
      <c r="E84" s="294"/>
      <c r="F84" s="294"/>
      <c r="G84" s="294"/>
      <c r="H84" s="294"/>
      <c r="I84" s="294"/>
      <c r="J84" s="294"/>
      <c r="K84" s="294"/>
      <c r="L84" s="85"/>
      <c r="M84" s="350"/>
      <c r="N84" s="294"/>
      <c r="O84" s="174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3"/>
      <c r="AC84" s="85"/>
      <c r="AD84" s="85"/>
    </row>
    <row r="85" spans="1:30" ht="12.75" customHeight="1" x14ac:dyDescent="0.2">
      <c r="B85" s="346"/>
      <c r="C85" s="294" t="b">
        <f>ROUND(C83,1)=ROUND(C86,1)</f>
        <v>1</v>
      </c>
      <c r="D85" s="294"/>
      <c r="E85" s="294"/>
      <c r="F85" s="294" t="b">
        <f>ROUND(F83,0)=ROUND(F86,0)</f>
        <v>1</v>
      </c>
      <c r="G85" s="294"/>
      <c r="H85" s="294"/>
      <c r="I85" s="294"/>
      <c r="J85" s="295"/>
      <c r="K85" s="295"/>
      <c r="L85" s="294"/>
      <c r="M85" s="85"/>
      <c r="N85" s="295"/>
      <c r="O85" s="83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178"/>
      <c r="AB85" s="153"/>
      <c r="AC85" s="85"/>
      <c r="AD85" s="85"/>
    </row>
    <row r="86" spans="1:30" ht="12.75" customHeight="1" x14ac:dyDescent="0.2">
      <c r="B86" s="348"/>
      <c r="C86" s="355">
        <f>-'TB (2) - October'!D118</f>
        <v>-19529.140000000003</v>
      </c>
      <c r="D86" s="355"/>
      <c r="E86" s="356"/>
      <c r="F86" s="355">
        <f>-TB!D118</f>
        <v>31718.869999999937</v>
      </c>
      <c r="G86" s="351"/>
      <c r="H86" s="296"/>
      <c r="I86" s="296"/>
      <c r="J86" s="296"/>
      <c r="K86" s="296"/>
      <c r="L86" s="86"/>
      <c r="M86" s="85"/>
      <c r="N86" s="296"/>
      <c r="O86" s="83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153"/>
      <c r="AC86" s="85"/>
      <c r="AD86" s="85"/>
    </row>
    <row r="87" spans="1:30" ht="12.75" customHeight="1" x14ac:dyDescent="0.2">
      <c r="B87" s="348"/>
      <c r="C87" s="351">
        <f>ROUND(C83-C86,1)</f>
        <v>0</v>
      </c>
      <c r="D87" s="351"/>
      <c r="E87" s="352"/>
      <c r="F87" s="351">
        <f>ROUND(F83-F86,0)</f>
        <v>0</v>
      </c>
      <c r="G87" s="351"/>
      <c r="H87" s="296"/>
      <c r="I87" s="296"/>
      <c r="J87" s="296"/>
      <c r="K87" s="296"/>
      <c r="L87" s="86"/>
      <c r="M87" s="85"/>
      <c r="N87" s="296"/>
      <c r="O87" s="83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153"/>
      <c r="AC87" s="85"/>
      <c r="AD87" s="85"/>
    </row>
    <row r="88" spans="1:30" ht="12.75" customHeight="1" x14ac:dyDescent="0.2">
      <c r="B88" s="348"/>
      <c r="C88" s="353"/>
      <c r="D88" s="353"/>
      <c r="E88" s="353"/>
      <c r="F88" s="353"/>
      <c r="G88" s="353"/>
      <c r="H88" s="294"/>
      <c r="I88" s="294"/>
      <c r="J88" s="295"/>
      <c r="K88" s="295"/>
      <c r="L88" s="86"/>
      <c r="M88" s="350"/>
      <c r="N88" s="295"/>
      <c r="O88" s="83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</row>
    <row r="89" spans="1:30" ht="12.75" customHeight="1" x14ac:dyDescent="0.2">
      <c r="B89" s="348"/>
      <c r="C89" s="353"/>
      <c r="D89" s="353"/>
      <c r="E89" s="353"/>
      <c r="F89" s="353"/>
      <c r="G89" s="353"/>
      <c r="H89" s="294"/>
      <c r="I89" s="294"/>
      <c r="J89" s="295"/>
      <c r="K89" s="295"/>
      <c r="L89" s="86"/>
      <c r="N89" s="295"/>
      <c r="AB89" s="80"/>
    </row>
    <row r="90" spans="1:30" ht="12.75" customHeight="1" x14ac:dyDescent="0.2">
      <c r="B90" s="349"/>
      <c r="C90" s="347"/>
      <c r="D90" s="347"/>
      <c r="E90" s="347"/>
      <c r="F90" s="294"/>
      <c r="G90" s="294"/>
      <c r="H90" s="294"/>
      <c r="I90" s="294"/>
      <c r="J90" s="295"/>
      <c r="K90" s="295"/>
      <c r="L90" s="86"/>
      <c r="N90" s="295"/>
      <c r="AB90" s="80"/>
    </row>
    <row r="91" spans="1:30" ht="12.75" customHeight="1" x14ac:dyDescent="0.2">
      <c r="B91" s="86"/>
      <c r="C91" s="294"/>
      <c r="D91" s="294"/>
      <c r="E91" s="294"/>
      <c r="F91" s="294"/>
      <c r="G91" s="294"/>
      <c r="H91" s="294"/>
      <c r="I91" s="294"/>
      <c r="J91" s="295"/>
      <c r="K91" s="295"/>
      <c r="L91" s="86"/>
      <c r="N91" s="295"/>
      <c r="AB91" s="80"/>
    </row>
    <row r="92" spans="1:30" ht="12.75" customHeight="1" x14ac:dyDescent="0.2">
      <c r="B92" s="354"/>
      <c r="C92" s="294"/>
      <c r="D92" s="294"/>
      <c r="E92" s="294"/>
      <c r="F92" s="294"/>
      <c r="G92" s="294"/>
      <c r="H92" s="294"/>
      <c r="I92" s="294"/>
      <c r="J92" s="295"/>
      <c r="K92" s="295"/>
      <c r="L92" s="86"/>
      <c r="N92" s="295"/>
      <c r="AB92" s="80"/>
    </row>
    <row r="93" spans="1:30" ht="12.75" customHeight="1" x14ac:dyDescent="0.2">
      <c r="D93" s="295"/>
      <c r="E93" s="295"/>
      <c r="AB93" s="80"/>
    </row>
    <row r="94" spans="1:30" ht="12.75" customHeight="1" x14ac:dyDescent="0.2">
      <c r="F94" s="295"/>
      <c r="AB94" s="80"/>
    </row>
    <row r="95" spans="1:30" ht="12.75" customHeight="1" x14ac:dyDescent="0.2">
      <c r="B95" s="87"/>
      <c r="AB95" s="80"/>
    </row>
    <row r="96" spans="1:30" ht="12.75" customHeight="1" x14ac:dyDescent="0.2">
      <c r="AB96" s="80"/>
    </row>
    <row r="97" spans="2:28" ht="12.75" customHeight="1" x14ac:dyDescent="0.2">
      <c r="B97" s="87"/>
      <c r="AB97" s="80"/>
    </row>
    <row r="98" spans="2:28" ht="12.75" customHeight="1" x14ac:dyDescent="0.2">
      <c r="B98" s="87"/>
      <c r="AB98" s="80"/>
    </row>
    <row r="99" spans="2:28" ht="12.75" customHeight="1" x14ac:dyDescent="0.2">
      <c r="B99" s="87"/>
      <c r="AB99" s="80"/>
    </row>
    <row r="100" spans="2:28" ht="12.75" customHeight="1" x14ac:dyDescent="0.2">
      <c r="AB100" s="80"/>
    </row>
    <row r="101" spans="2:28" ht="12.75" customHeight="1" x14ac:dyDescent="0.2">
      <c r="AB101" s="80"/>
    </row>
    <row r="102" spans="2:28" ht="12.75" customHeight="1" x14ac:dyDescent="0.2">
      <c r="B102" s="87"/>
      <c r="AB102" s="80"/>
    </row>
    <row r="103" spans="2:28" ht="12.75" customHeight="1" x14ac:dyDescent="0.2">
      <c r="AB103" s="80"/>
    </row>
    <row r="104" spans="2:28" ht="12.75" customHeight="1" x14ac:dyDescent="0.2">
      <c r="B104" s="87"/>
      <c r="AB104" s="80"/>
    </row>
    <row r="105" spans="2:28" ht="12.75" customHeight="1" x14ac:dyDescent="0.2">
      <c r="B105" s="87"/>
      <c r="AB105" s="80"/>
    </row>
    <row r="109" spans="2:28" ht="12.75" customHeight="1" x14ac:dyDescent="0.2">
      <c r="B109" s="87"/>
      <c r="AB109" s="80"/>
    </row>
    <row r="110" spans="2:28" ht="12.75" customHeight="1" x14ac:dyDescent="0.2">
      <c r="B110" s="87"/>
      <c r="AB110" s="80"/>
    </row>
    <row r="112" spans="2:28" ht="12.75" customHeight="1" x14ac:dyDescent="0.2">
      <c r="B112" s="87"/>
      <c r="AB112" s="80"/>
    </row>
    <row r="113" spans="2:28" ht="12.75" customHeight="1" x14ac:dyDescent="0.2">
      <c r="B113" s="87"/>
      <c r="AB113" s="80"/>
    </row>
  </sheetData>
  <mergeCells count="4">
    <mergeCell ref="F4:H4"/>
    <mergeCell ref="C4:E4"/>
    <mergeCell ref="J4:J5"/>
    <mergeCell ref="K4:K5"/>
  </mergeCells>
  <phoneticPr fontId="0" type="noConversion"/>
  <conditionalFormatting sqref="P5:AA5">
    <cfRule type="expression" dxfId="1" priority="2">
      <formula>P5&lt;=$B$3</formula>
    </cfRule>
  </conditionalFormatting>
  <conditionalFormatting sqref="O5">
    <cfRule type="expression" dxfId="0" priority="1">
      <formula>O5&lt;=$B$3</formula>
    </cfRule>
  </conditionalFormatting>
  <pageMargins left="0.86614173228346458" right="0.23622047244094491" top="0.59055118110236227" bottom="0.70866141732283472" header="0.51181102362204722" footer="0.39370078740157483"/>
  <pageSetup paperSize="8" fitToHeight="0" orientation="landscape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topLeftCell="A10" zoomScaleNormal="100" workbookViewId="0">
      <selection activeCell="B52" sqref="B52"/>
    </sheetView>
  </sheetViews>
  <sheetFormatPr defaultRowHeight="12.75" x14ac:dyDescent="0.2"/>
  <cols>
    <col min="1" max="1" width="14.42578125" bestFit="1" customWidth="1"/>
    <col min="2" max="2" width="11.28515625" bestFit="1" customWidth="1"/>
    <col min="3" max="3" width="9.7109375" bestFit="1" customWidth="1"/>
    <col min="4" max="4" width="8.140625" bestFit="1" customWidth="1"/>
    <col min="6" max="6" width="20" bestFit="1" customWidth="1"/>
    <col min="7" max="7" width="21" bestFit="1" customWidth="1"/>
    <col min="8" max="8" width="23.5703125" bestFit="1" customWidth="1"/>
    <col min="9" max="9" width="13.5703125" bestFit="1" customWidth="1"/>
    <col min="10" max="10" width="15.5703125" bestFit="1" customWidth="1"/>
    <col min="11" max="11" width="13.140625" bestFit="1" customWidth="1"/>
    <col min="12" max="12" width="14.85546875" bestFit="1" customWidth="1"/>
  </cols>
  <sheetData>
    <row r="1" spans="1:14" ht="14.25" x14ac:dyDescent="0.2">
      <c r="A1" s="300"/>
      <c r="B1" s="300"/>
      <c r="C1" s="300"/>
      <c r="D1" s="300"/>
      <c r="E1" s="300"/>
      <c r="F1" s="343" t="s">
        <v>1054</v>
      </c>
      <c r="G1" s="343" t="s">
        <v>1055</v>
      </c>
      <c r="H1" s="343" t="s">
        <v>1056</v>
      </c>
      <c r="I1" s="343" t="s">
        <v>831</v>
      </c>
      <c r="J1" s="343" t="s">
        <v>1057</v>
      </c>
      <c r="K1" s="343" t="s">
        <v>934</v>
      </c>
      <c r="L1" s="407" t="s">
        <v>1058</v>
      </c>
      <c r="M1" s="344"/>
      <c r="N1" s="344"/>
    </row>
    <row r="2" spans="1:14" ht="12.75" customHeight="1" x14ac:dyDescent="0.2">
      <c r="A2" s="301" t="s">
        <v>1010</v>
      </c>
      <c r="B2" s="302" t="s">
        <v>1011</v>
      </c>
      <c r="C2" s="302" t="s">
        <v>1012</v>
      </c>
      <c r="D2" s="302" t="s">
        <v>1013</v>
      </c>
      <c r="E2" s="303"/>
      <c r="F2" s="302" t="s">
        <v>1014</v>
      </c>
      <c r="G2" s="302" t="s">
        <v>1015</v>
      </c>
      <c r="H2" s="302" t="s">
        <v>1059</v>
      </c>
      <c r="I2" s="302" t="s">
        <v>1016</v>
      </c>
      <c r="J2" s="302" t="s">
        <v>1017</v>
      </c>
      <c r="K2" s="302" t="s">
        <v>1018</v>
      </c>
      <c r="L2" s="407"/>
      <c r="M2" s="344"/>
      <c r="N2" s="344"/>
    </row>
    <row r="3" spans="1:14" ht="12.75" customHeight="1" x14ac:dyDescent="0.2">
      <c r="A3" s="301"/>
      <c r="B3" s="302"/>
      <c r="C3" s="302"/>
      <c r="D3" s="302"/>
      <c r="E3" s="303"/>
      <c r="F3" s="302" t="s">
        <v>1060</v>
      </c>
      <c r="G3" s="302" t="s">
        <v>1061</v>
      </c>
      <c r="H3" s="302">
        <v>0.59</v>
      </c>
      <c r="I3" s="302"/>
      <c r="J3" s="302" t="s">
        <v>1062</v>
      </c>
      <c r="K3" s="302"/>
      <c r="L3" s="408"/>
      <c r="M3" s="344"/>
      <c r="N3" s="344"/>
    </row>
    <row r="4" spans="1:14" x14ac:dyDescent="0.2">
      <c r="A4" s="311">
        <v>42735</v>
      </c>
      <c r="B4" s="312">
        <v>836188.00000000023</v>
      </c>
      <c r="C4" s="313"/>
      <c r="D4" s="313"/>
      <c r="E4" s="314"/>
      <c r="F4" s="313">
        <f>'[2]Inv 2016 '!F51</f>
        <v>-13766.475899999998</v>
      </c>
      <c r="G4" s="313">
        <f>'[2]Inv 2016 '!G51</f>
        <v>3643.4212999999995</v>
      </c>
      <c r="H4" s="313">
        <f>'[2]Inv 2016 '!H51</f>
        <v>-47455.629300000001</v>
      </c>
      <c r="I4" s="313">
        <f>'[2]Inv 2016 '!I51</f>
        <v>-9566.5340999999989</v>
      </c>
      <c r="J4" s="313">
        <f>'[2]Inv 2016 '!J51</f>
        <v>2531.8687</v>
      </c>
      <c r="K4" s="313">
        <f>'[2]Inv 2016 '!K51</f>
        <v>-32977.640699999996</v>
      </c>
      <c r="L4" s="310"/>
      <c r="M4" s="344"/>
      <c r="N4" s="344"/>
    </row>
    <row r="5" spans="1:14" x14ac:dyDescent="0.2">
      <c r="A5" s="315" t="s">
        <v>832</v>
      </c>
      <c r="B5" s="306">
        <v>3633.11</v>
      </c>
      <c r="C5" s="306"/>
      <c r="D5" s="306"/>
      <c r="E5" s="316"/>
      <c r="F5" s="317">
        <f>-0.59*B5</f>
        <v>-2143.5349000000001</v>
      </c>
      <c r="G5" s="306"/>
      <c r="H5" s="306"/>
      <c r="I5" s="317">
        <f>-0.41*B5</f>
        <v>-1489.5751</v>
      </c>
      <c r="J5" s="306"/>
      <c r="K5" s="309"/>
      <c r="L5" s="310">
        <f>B5</f>
        <v>3633.11</v>
      </c>
      <c r="M5" s="344"/>
      <c r="N5" s="344"/>
    </row>
    <row r="6" spans="1:14" x14ac:dyDescent="0.2">
      <c r="A6" s="315" t="s">
        <v>1019</v>
      </c>
      <c r="B6" s="306"/>
      <c r="C6" s="306"/>
      <c r="D6" s="306"/>
      <c r="E6" s="316"/>
      <c r="F6" s="306"/>
      <c r="G6" s="306"/>
      <c r="H6" s="306"/>
      <c r="I6" s="306"/>
      <c r="J6" s="306"/>
      <c r="K6" s="309"/>
      <c r="L6" s="310"/>
      <c r="M6" s="344"/>
      <c r="N6" s="344"/>
    </row>
    <row r="7" spans="1:14" x14ac:dyDescent="0.2">
      <c r="A7" s="315" t="s">
        <v>832</v>
      </c>
      <c r="B7" s="306"/>
      <c r="C7" s="317">
        <v>-3633.11</v>
      </c>
      <c r="D7" s="306"/>
      <c r="E7" s="316"/>
      <c r="F7" s="306"/>
      <c r="G7" s="306"/>
      <c r="H7" s="306"/>
      <c r="I7" s="306"/>
      <c r="J7" s="306"/>
      <c r="K7" s="309"/>
      <c r="L7" s="310">
        <f>C7</f>
        <v>-3633.11</v>
      </c>
      <c r="M7" s="344"/>
      <c r="N7" s="344"/>
    </row>
    <row r="8" spans="1:14" x14ac:dyDescent="0.2">
      <c r="A8" s="315" t="s">
        <v>1019</v>
      </c>
      <c r="B8" s="306"/>
      <c r="C8" s="306"/>
      <c r="D8" s="306"/>
      <c r="E8" s="316"/>
      <c r="F8" s="306"/>
      <c r="G8" s="306"/>
      <c r="H8" s="306"/>
      <c r="I8" s="306">
        <f>0.41*D8</f>
        <v>0</v>
      </c>
      <c r="J8" s="306"/>
      <c r="K8" s="309"/>
      <c r="L8" s="310"/>
      <c r="M8" s="344"/>
      <c r="N8" s="344"/>
    </row>
    <row r="9" spans="1:14" x14ac:dyDescent="0.2">
      <c r="A9" s="315" t="s">
        <v>1020</v>
      </c>
      <c r="B9" s="306"/>
      <c r="C9" s="306"/>
      <c r="D9" s="318">
        <v>-1539.86</v>
      </c>
      <c r="E9" s="306"/>
      <c r="F9" s="306"/>
      <c r="G9" s="318"/>
      <c r="H9" s="306"/>
      <c r="I9" s="306"/>
      <c r="J9" s="318"/>
      <c r="K9" s="309"/>
      <c r="L9" s="310">
        <v>-1539.86</v>
      </c>
      <c r="M9" s="344"/>
      <c r="N9" s="344"/>
    </row>
    <row r="10" spans="1:14" x14ac:dyDescent="0.2">
      <c r="A10" s="315" t="s">
        <v>1021</v>
      </c>
      <c r="B10" s="306"/>
      <c r="C10" s="306">
        <v>27161.86</v>
      </c>
      <c r="D10" s="306"/>
      <c r="E10" s="316"/>
      <c r="F10" s="307"/>
      <c r="G10" s="306"/>
      <c r="H10" s="319">
        <f>-0.59*L10</f>
        <v>-16025.4974</v>
      </c>
      <c r="I10" s="306"/>
      <c r="J10" s="306"/>
      <c r="K10" s="319">
        <f>-0.41*L10</f>
        <v>-11136.3626</v>
      </c>
      <c r="L10" s="310">
        <f>C10</f>
        <v>27161.86</v>
      </c>
      <c r="M10" s="344"/>
      <c r="N10" s="344"/>
    </row>
    <row r="11" spans="1:14" x14ac:dyDescent="0.2">
      <c r="A11" s="320">
        <v>42825</v>
      </c>
      <c r="B11" s="321">
        <f>SUM(B4:D10)</f>
        <v>861810.00000000023</v>
      </c>
      <c r="C11" s="322"/>
      <c r="D11" s="322"/>
      <c r="E11" s="323"/>
      <c r="F11" s="324">
        <f>SUM(F4:F10)</f>
        <v>-15910.010799999998</v>
      </c>
      <c r="G11" s="324">
        <f>SUM(G4:G10)</f>
        <v>3643.4212999999995</v>
      </c>
      <c r="H11" s="324">
        <f t="shared" ref="H11:K11" si="0">SUM(H4:H10)</f>
        <v>-63481.126700000001</v>
      </c>
      <c r="I11" s="324">
        <f t="shared" si="0"/>
        <v>-11056.109199999999</v>
      </c>
      <c r="J11" s="324">
        <f t="shared" si="0"/>
        <v>2531.8687</v>
      </c>
      <c r="K11" s="324">
        <f t="shared" si="0"/>
        <v>-44114.003299999997</v>
      </c>
      <c r="L11" s="322">
        <f>B4+SUM(L5:L10)</f>
        <v>861810.00000000023</v>
      </c>
      <c r="M11" s="344"/>
      <c r="N11" s="344"/>
    </row>
    <row r="12" spans="1:14" x14ac:dyDescent="0.2">
      <c r="A12" s="315" t="s">
        <v>1052</v>
      </c>
      <c r="B12" s="325">
        <v>4962</v>
      </c>
      <c r="C12" s="306"/>
      <c r="D12" s="306"/>
      <c r="E12" s="316"/>
      <c r="F12" s="317">
        <f>-0.59*B12</f>
        <v>-2927.58</v>
      </c>
      <c r="G12" s="306"/>
      <c r="H12" s="306"/>
      <c r="I12" s="317">
        <f>-0.41*B12</f>
        <v>-2034.4199999999998</v>
      </c>
      <c r="J12" s="306"/>
      <c r="K12" s="309"/>
      <c r="L12" s="310">
        <f>B12</f>
        <v>4962</v>
      </c>
      <c r="M12" s="344"/>
      <c r="N12" s="344"/>
    </row>
    <row r="13" spans="1:14" x14ac:dyDescent="0.2">
      <c r="A13" s="315" t="s">
        <v>1053</v>
      </c>
      <c r="B13" s="306">
        <v>3288</v>
      </c>
      <c r="C13" s="306"/>
      <c r="D13" s="306"/>
      <c r="E13" s="316"/>
      <c r="F13" s="317">
        <f>-0.59*B13</f>
        <v>-1939.9199999999998</v>
      </c>
      <c r="G13" s="306"/>
      <c r="H13" s="306"/>
      <c r="I13" s="317">
        <f>-0.41*B13</f>
        <v>-1348.08</v>
      </c>
      <c r="J13" s="306"/>
      <c r="K13" s="309"/>
      <c r="L13" s="310">
        <f>B13</f>
        <v>3288</v>
      </c>
      <c r="M13" s="344"/>
      <c r="N13" s="344"/>
    </row>
    <row r="14" spans="1:14" x14ac:dyDescent="0.2">
      <c r="A14" s="315" t="s">
        <v>832</v>
      </c>
      <c r="B14" s="306">
        <v>6063.79</v>
      </c>
      <c r="C14" s="306"/>
      <c r="D14" s="306"/>
      <c r="E14" s="316"/>
      <c r="F14" s="317">
        <f>-0.59*B14</f>
        <v>-3577.6360999999997</v>
      </c>
      <c r="G14" s="306"/>
      <c r="H14" s="306"/>
      <c r="I14" s="317">
        <f>-0.41*B14</f>
        <v>-2486.1538999999998</v>
      </c>
      <c r="J14" s="306"/>
      <c r="K14" s="306"/>
      <c r="L14" s="310">
        <f>B14</f>
        <v>6063.79</v>
      </c>
      <c r="M14" s="344"/>
      <c r="N14" s="344"/>
    </row>
    <row r="15" spans="1:14" x14ac:dyDescent="0.2">
      <c r="A15" s="308" t="s">
        <v>1063</v>
      </c>
      <c r="B15" s="305"/>
      <c r="C15" s="305"/>
      <c r="D15" s="305"/>
      <c r="E15" s="304"/>
      <c r="F15" s="305"/>
      <c r="G15" s="305"/>
      <c r="H15" s="305"/>
      <c r="I15" s="305"/>
      <c r="J15" s="305"/>
      <c r="K15" s="307"/>
      <c r="L15" s="310"/>
      <c r="M15" s="344"/>
      <c r="N15" s="344"/>
    </row>
    <row r="16" spans="1:14" x14ac:dyDescent="0.2">
      <c r="A16" s="308" t="s">
        <v>1052</v>
      </c>
      <c r="B16" s="308"/>
      <c r="C16" s="306"/>
      <c r="D16" s="307"/>
      <c r="E16" s="307"/>
      <c r="F16" s="307"/>
      <c r="G16" s="307"/>
      <c r="H16" s="307"/>
      <c r="I16" s="307"/>
      <c r="J16" s="307"/>
      <c r="K16" s="307"/>
      <c r="L16" s="310"/>
      <c r="M16" s="344"/>
      <c r="N16" s="344"/>
    </row>
    <row r="17" spans="1:14" x14ac:dyDescent="0.2">
      <c r="A17" s="308" t="s">
        <v>1053</v>
      </c>
      <c r="B17" s="308"/>
      <c r="C17" s="306">
        <v>-8250</v>
      </c>
      <c r="D17" s="307"/>
      <c r="E17" s="307"/>
      <c r="F17" s="317">
        <f>-0.59*C17</f>
        <v>4867.5</v>
      </c>
      <c r="G17" s="307"/>
      <c r="H17" s="307"/>
      <c r="I17" s="317">
        <f>-0.41*C17</f>
        <v>3382.5</v>
      </c>
      <c r="J17" s="307"/>
      <c r="K17" s="307"/>
      <c r="L17" s="310">
        <f>C17</f>
        <v>-8250</v>
      </c>
      <c r="M17" s="344"/>
      <c r="N17" s="344"/>
    </row>
    <row r="18" spans="1:14" x14ac:dyDescent="0.2">
      <c r="A18" s="308" t="s">
        <v>832</v>
      </c>
      <c r="B18" s="307"/>
      <c r="C18" s="317">
        <v>-6040.01</v>
      </c>
      <c r="D18" s="307"/>
      <c r="E18" s="307"/>
      <c r="F18" s="306"/>
      <c r="G18" s="307"/>
      <c r="H18" s="307"/>
      <c r="I18" s="306"/>
      <c r="J18" s="307"/>
      <c r="K18" s="307"/>
      <c r="L18" s="310">
        <f>C18</f>
        <v>-6040.01</v>
      </c>
      <c r="M18" s="344"/>
      <c r="N18" s="344"/>
    </row>
    <row r="19" spans="1:14" x14ac:dyDescent="0.2">
      <c r="A19" s="308" t="s">
        <v>1063</v>
      </c>
      <c r="B19" s="308"/>
      <c r="C19" s="307"/>
      <c r="D19" s="307"/>
      <c r="E19" s="307"/>
      <c r="F19" s="307"/>
      <c r="G19" s="307"/>
      <c r="H19" s="307"/>
      <c r="I19" s="307"/>
      <c r="J19" s="307"/>
      <c r="K19" s="307"/>
      <c r="L19" s="310"/>
      <c r="M19" s="344"/>
      <c r="N19" s="344"/>
    </row>
    <row r="20" spans="1:14" x14ac:dyDescent="0.2">
      <c r="A20" s="308" t="s">
        <v>1064</v>
      </c>
      <c r="B20" s="308"/>
      <c r="C20" s="307"/>
      <c r="D20" s="318">
        <v>-1540.76</v>
      </c>
      <c r="E20" s="307"/>
      <c r="F20" s="307"/>
      <c r="G20" s="318">
        <f>-0.59*D20</f>
        <v>909.0483999999999</v>
      </c>
      <c r="H20" s="307"/>
      <c r="I20" s="307"/>
      <c r="J20" s="318">
        <f>-0.41*D20</f>
        <v>631.71159999999998</v>
      </c>
      <c r="K20" s="307"/>
      <c r="L20" s="310">
        <f>D20</f>
        <v>-1540.76</v>
      </c>
      <c r="M20" s="344"/>
      <c r="N20" s="344"/>
    </row>
    <row r="21" spans="1:14" x14ac:dyDescent="0.2">
      <c r="A21" s="308" t="s">
        <v>1021</v>
      </c>
      <c r="B21" s="308"/>
      <c r="C21" s="308">
        <v>5640.98</v>
      </c>
      <c r="D21" s="307"/>
      <c r="E21" s="307"/>
      <c r="F21" s="307"/>
      <c r="G21" s="307"/>
      <c r="H21" s="319">
        <f>-0.59*L21</f>
        <v>-3328.1781999999994</v>
      </c>
      <c r="I21" s="307"/>
      <c r="J21" s="307"/>
      <c r="K21" s="319">
        <f>-0.41*L21</f>
        <v>-2312.8017999999997</v>
      </c>
      <c r="L21" s="310">
        <f>C21</f>
        <v>5640.98</v>
      </c>
      <c r="M21" s="344"/>
      <c r="N21" s="344"/>
    </row>
    <row r="22" spans="1:14" x14ac:dyDescent="0.2">
      <c r="A22" s="320">
        <v>42916</v>
      </c>
      <c r="B22" s="321">
        <f>SUM(B11:D21)</f>
        <v>865934.00000000023</v>
      </c>
      <c r="C22" s="322"/>
      <c r="D22" s="322"/>
      <c r="E22" s="323"/>
      <c r="F22" s="324">
        <f>SUM(F11:F21)</f>
        <v>-19487.646899999996</v>
      </c>
      <c r="G22" s="324">
        <f t="shared" ref="G22:K22" si="1">SUM(G11:G21)</f>
        <v>4552.4696999999996</v>
      </c>
      <c r="H22" s="324">
        <f t="shared" si="1"/>
        <v>-66809.304900000003</v>
      </c>
      <c r="I22" s="324">
        <f t="shared" si="1"/>
        <v>-13542.2631</v>
      </c>
      <c r="J22" s="324">
        <f t="shared" si="1"/>
        <v>3163.5803000000001</v>
      </c>
      <c r="K22" s="324">
        <f t="shared" si="1"/>
        <v>-46426.805099999998</v>
      </c>
      <c r="L22" s="322">
        <f>SUM(L11:L21)</f>
        <v>865934.00000000023</v>
      </c>
      <c r="M22" s="344"/>
      <c r="N22" s="344"/>
    </row>
    <row r="23" spans="1:14" s="79" customFormat="1" x14ac:dyDescent="0.2">
      <c r="A23" s="315" t="s">
        <v>1052</v>
      </c>
      <c r="B23" s="325"/>
      <c r="C23" s="306"/>
      <c r="D23" s="306"/>
      <c r="E23" s="316"/>
      <c r="F23" s="306"/>
      <c r="G23" s="306"/>
      <c r="H23" s="306"/>
      <c r="I23" s="306"/>
      <c r="J23" s="306"/>
      <c r="K23" s="309"/>
      <c r="L23" s="310"/>
      <c r="M23" s="344"/>
      <c r="N23" s="344"/>
    </row>
    <row r="24" spans="1:14" s="79" customFormat="1" x14ac:dyDescent="0.2">
      <c r="A24" s="315" t="s">
        <v>1053</v>
      </c>
      <c r="B24" s="306"/>
      <c r="C24" s="306"/>
      <c r="D24" s="306"/>
      <c r="E24" s="316"/>
      <c r="F24" s="306"/>
      <c r="G24" s="306"/>
      <c r="H24" s="306"/>
      <c r="I24" s="306"/>
      <c r="J24" s="306"/>
      <c r="K24" s="309"/>
      <c r="L24" s="310"/>
      <c r="M24" s="344"/>
      <c r="N24" s="344"/>
    </row>
    <row r="25" spans="1:14" s="79" customFormat="1" x14ac:dyDescent="0.2">
      <c r="A25" s="315" t="s">
        <v>832</v>
      </c>
      <c r="B25" s="306">
        <v>5843.02</v>
      </c>
      <c r="C25" s="306"/>
      <c r="D25" s="306"/>
      <c r="E25" s="316"/>
      <c r="F25" s="317">
        <f>-0.59*B25</f>
        <v>-3447.3818000000001</v>
      </c>
      <c r="G25" s="306"/>
      <c r="H25" s="306"/>
      <c r="I25" s="317">
        <f>-0.41*B25</f>
        <v>-2395.6381999999999</v>
      </c>
      <c r="J25" s="306"/>
      <c r="K25" s="306"/>
      <c r="L25" s="310">
        <f>B25</f>
        <v>5843.02</v>
      </c>
      <c r="M25" s="344"/>
      <c r="N25" s="344"/>
    </row>
    <row r="26" spans="1:14" s="79" customFormat="1" x14ac:dyDescent="0.2">
      <c r="A26" s="308" t="s">
        <v>1063</v>
      </c>
      <c r="B26" s="305"/>
      <c r="C26" s="305"/>
      <c r="D26" s="305"/>
      <c r="E26" s="304"/>
      <c r="F26" s="305"/>
      <c r="G26" s="305"/>
      <c r="H26" s="305"/>
      <c r="I26" s="305"/>
      <c r="J26" s="305"/>
      <c r="K26" s="307"/>
      <c r="L26" s="310"/>
      <c r="M26" s="344"/>
      <c r="N26" s="344"/>
    </row>
    <row r="27" spans="1:14" s="79" customFormat="1" x14ac:dyDescent="0.2">
      <c r="A27" s="308" t="s">
        <v>1052</v>
      </c>
      <c r="B27" s="308"/>
      <c r="C27" s="306">
        <v>-25000</v>
      </c>
      <c r="D27" s="307"/>
      <c r="E27" s="307"/>
      <c r="F27" s="306"/>
      <c r="G27" s="307"/>
      <c r="H27" s="307"/>
      <c r="I27" s="306"/>
      <c r="J27" s="307"/>
      <c r="K27" s="307"/>
      <c r="L27" s="310">
        <f>C27</f>
        <v>-25000</v>
      </c>
      <c r="M27" s="344"/>
      <c r="N27" s="344"/>
    </row>
    <row r="28" spans="1:14" s="79" customFormat="1" x14ac:dyDescent="0.2">
      <c r="A28" s="308" t="s">
        <v>1053</v>
      </c>
      <c r="B28" s="308"/>
      <c r="C28" s="306"/>
      <c r="D28" s="307"/>
      <c r="E28" s="307"/>
      <c r="F28" s="307"/>
      <c r="G28" s="307"/>
      <c r="H28" s="307"/>
      <c r="I28" s="307"/>
      <c r="J28" s="307"/>
      <c r="K28" s="307"/>
      <c r="L28" s="310"/>
      <c r="M28" s="344"/>
      <c r="N28" s="344"/>
    </row>
    <row r="29" spans="1:14" s="79" customFormat="1" x14ac:dyDescent="0.2">
      <c r="A29" s="308" t="s">
        <v>832</v>
      </c>
      <c r="B29" s="307"/>
      <c r="C29" s="317">
        <v>-5567.5</v>
      </c>
      <c r="D29" s="307"/>
      <c r="E29" s="307"/>
      <c r="F29" s="306"/>
      <c r="G29" s="307"/>
      <c r="H29" s="307"/>
      <c r="I29" s="306"/>
      <c r="J29" s="307"/>
      <c r="K29" s="307"/>
      <c r="L29" s="310">
        <f>C29</f>
        <v>-5567.5</v>
      </c>
      <c r="M29" s="344"/>
      <c r="N29" s="344"/>
    </row>
    <row r="30" spans="1:14" s="79" customFormat="1" x14ac:dyDescent="0.2">
      <c r="A30" s="308" t="s">
        <v>1063</v>
      </c>
      <c r="B30" s="308"/>
      <c r="C30" s="307"/>
      <c r="D30" s="307"/>
      <c r="E30" s="307"/>
      <c r="F30" s="307"/>
      <c r="G30" s="307"/>
      <c r="H30" s="307"/>
      <c r="I30" s="307"/>
      <c r="J30" s="307"/>
      <c r="K30" s="307"/>
      <c r="L30" s="310"/>
      <c r="M30" s="344"/>
      <c r="N30" s="344"/>
    </row>
    <row r="31" spans="1:14" s="79" customFormat="1" x14ac:dyDescent="0.2">
      <c r="A31" s="308" t="s">
        <v>1064</v>
      </c>
      <c r="B31" s="308"/>
      <c r="D31" s="318">
        <v>-1561.64</v>
      </c>
      <c r="E31" s="307"/>
      <c r="F31" s="307"/>
      <c r="G31" s="318">
        <f>-0.59*D31</f>
        <v>921.36760000000004</v>
      </c>
      <c r="H31" s="307"/>
      <c r="I31" s="307"/>
      <c r="J31" s="318">
        <f>-0.41*D31</f>
        <v>640.27239999999995</v>
      </c>
      <c r="K31" s="307"/>
      <c r="L31" s="310">
        <f>D31</f>
        <v>-1561.64</v>
      </c>
      <c r="M31" s="344"/>
      <c r="N31" s="344"/>
    </row>
    <row r="32" spans="1:14" s="79" customFormat="1" x14ac:dyDescent="0.2">
      <c r="A32" s="308" t="s">
        <v>1021</v>
      </c>
      <c r="B32" s="308"/>
      <c r="C32" s="308">
        <v>2024.12</v>
      </c>
      <c r="D32" s="307"/>
      <c r="E32" s="307"/>
      <c r="F32" s="307"/>
      <c r="G32" s="307"/>
      <c r="H32" s="319">
        <f>-0.59*L32</f>
        <v>-1194.2307999999998</v>
      </c>
      <c r="I32" s="307"/>
      <c r="J32" s="307"/>
      <c r="K32" s="319">
        <f>-0.41*L32</f>
        <v>-829.88919999999996</v>
      </c>
      <c r="L32" s="310">
        <f>C32</f>
        <v>2024.12</v>
      </c>
      <c r="M32" s="344"/>
      <c r="N32" s="344"/>
    </row>
    <row r="33" spans="1:14" s="79" customFormat="1" x14ac:dyDescent="0.2">
      <c r="A33" s="320">
        <v>43008</v>
      </c>
      <c r="B33" s="321">
        <f>SUM(B22:D32)</f>
        <v>841672.00000000023</v>
      </c>
      <c r="C33" s="322"/>
      <c r="D33" s="322"/>
      <c r="E33" s="323"/>
      <c r="F33" s="324">
        <f>SUM(F22:F32)</f>
        <v>-22935.028699999995</v>
      </c>
      <c r="G33" s="324">
        <f t="shared" ref="G33:K33" si="2">SUM(G22:G32)</f>
        <v>5473.8372999999992</v>
      </c>
      <c r="H33" s="324">
        <f>SUM(H22:H32)</f>
        <v>-68003.535700000008</v>
      </c>
      <c r="I33" s="324">
        <f t="shared" si="2"/>
        <v>-15937.9013</v>
      </c>
      <c r="J33" s="324">
        <f t="shared" si="2"/>
        <v>3803.8526999999999</v>
      </c>
      <c r="K33" s="324">
        <f t="shared" si="2"/>
        <v>-47256.694299999996</v>
      </c>
      <c r="L33" s="322">
        <f>SUM(L22:L32)</f>
        <v>841672.00000000023</v>
      </c>
      <c r="M33" s="344"/>
      <c r="N33" s="344"/>
    </row>
    <row r="34" spans="1:14" x14ac:dyDescent="0.2">
      <c r="A34" s="315" t="s">
        <v>1052</v>
      </c>
      <c r="B34" s="325"/>
      <c r="C34" s="306"/>
      <c r="D34" s="306"/>
      <c r="E34" s="316"/>
      <c r="F34" s="306"/>
      <c r="G34" s="306"/>
      <c r="H34" s="306"/>
      <c r="I34" s="306"/>
      <c r="J34" s="306"/>
      <c r="K34" s="309"/>
      <c r="L34" s="310"/>
      <c r="M34" s="344"/>
      <c r="N34" s="344"/>
    </row>
    <row r="35" spans="1:14" x14ac:dyDescent="0.2">
      <c r="A35" s="315" t="s">
        <v>1053</v>
      </c>
      <c r="B35" s="306"/>
      <c r="C35" s="306"/>
      <c r="D35" s="306"/>
      <c r="E35" s="316"/>
      <c r="F35" s="306"/>
      <c r="G35" s="306"/>
      <c r="H35" s="306"/>
      <c r="I35" s="306"/>
      <c r="J35" s="306"/>
      <c r="K35" s="309"/>
      <c r="L35" s="310"/>
      <c r="M35" s="344"/>
      <c r="N35" s="344"/>
    </row>
    <row r="36" spans="1:14" x14ac:dyDescent="0.2">
      <c r="A36" s="315" t="s">
        <v>832</v>
      </c>
      <c r="B36" s="306"/>
      <c r="C36" s="306"/>
      <c r="D36" s="306"/>
      <c r="E36" s="316"/>
      <c r="F36" s="317">
        <f>-0.59*B36</f>
        <v>0</v>
      </c>
      <c r="G36" s="306"/>
      <c r="H36" s="306"/>
      <c r="I36" s="317">
        <f>-0.41*B36</f>
        <v>0</v>
      </c>
      <c r="J36" s="306"/>
      <c r="K36" s="306"/>
      <c r="L36" s="310">
        <f>B36</f>
        <v>0</v>
      </c>
    </row>
    <row r="37" spans="1:14" x14ac:dyDescent="0.2">
      <c r="A37" s="308" t="s">
        <v>1063</v>
      </c>
      <c r="B37" s="305"/>
      <c r="C37" s="305"/>
      <c r="D37" s="305"/>
      <c r="E37" s="304"/>
      <c r="F37" s="305"/>
      <c r="G37" s="305"/>
      <c r="H37" s="305"/>
      <c r="I37" s="305"/>
      <c r="J37" s="305"/>
      <c r="K37" s="307"/>
      <c r="L37" s="310"/>
    </row>
    <row r="38" spans="1:14" x14ac:dyDescent="0.2">
      <c r="A38" s="308" t="s">
        <v>1052</v>
      </c>
      <c r="B38" s="308"/>
      <c r="C38" s="306">
        <v>-50000</v>
      </c>
      <c r="D38" s="307"/>
      <c r="E38" s="307"/>
      <c r="F38" s="306"/>
      <c r="G38" s="307"/>
      <c r="H38" s="307"/>
      <c r="I38" s="306"/>
      <c r="J38" s="307"/>
      <c r="K38" s="307"/>
      <c r="L38" s="310">
        <f>C38</f>
        <v>-50000</v>
      </c>
    </row>
    <row r="39" spans="1:14" x14ac:dyDescent="0.2">
      <c r="A39" s="308" t="s">
        <v>1053</v>
      </c>
      <c r="B39" s="308"/>
      <c r="C39" s="306"/>
      <c r="D39" s="307"/>
      <c r="E39" s="307"/>
      <c r="F39" s="307"/>
      <c r="G39" s="307"/>
      <c r="H39" s="307"/>
      <c r="I39" s="307"/>
      <c r="J39" s="307"/>
      <c r="K39" s="307"/>
      <c r="L39" s="310"/>
    </row>
    <row r="40" spans="1:14" x14ac:dyDescent="0.2">
      <c r="A40" s="308" t="s">
        <v>832</v>
      </c>
      <c r="B40" s="307"/>
      <c r="C40" s="317"/>
      <c r="D40" s="307"/>
      <c r="E40" s="307"/>
      <c r="F40" s="306"/>
      <c r="G40" s="307"/>
      <c r="H40" s="307"/>
      <c r="I40" s="306"/>
      <c r="J40" s="307"/>
      <c r="K40" s="307"/>
      <c r="L40" s="310">
        <f>C40</f>
        <v>0</v>
      </c>
    </row>
    <row r="41" spans="1:14" x14ac:dyDescent="0.2">
      <c r="A41" s="308" t="s">
        <v>1063</v>
      </c>
      <c r="B41" s="308"/>
      <c r="C41" s="307"/>
      <c r="D41" s="307"/>
      <c r="E41" s="307"/>
      <c r="F41" s="307"/>
      <c r="G41" s="307"/>
      <c r="H41" s="307"/>
      <c r="I41" s="307"/>
      <c r="J41" s="307"/>
      <c r="K41" s="307"/>
      <c r="L41" s="310"/>
      <c r="M41" s="79"/>
      <c r="N41" s="79"/>
    </row>
    <row r="42" spans="1:14" x14ac:dyDescent="0.2">
      <c r="A42" s="308" t="s">
        <v>1064</v>
      </c>
      <c r="B42" s="308"/>
      <c r="C42" s="79"/>
      <c r="D42" s="318">
        <v>-1538.06</v>
      </c>
      <c r="E42" s="307"/>
      <c r="F42" s="307"/>
      <c r="G42" s="318">
        <f>-0.59*D42</f>
        <v>907.45539999999994</v>
      </c>
      <c r="H42" s="307"/>
      <c r="I42" s="307"/>
      <c r="J42" s="318">
        <f>-0.41*D42</f>
        <v>630.60459999999989</v>
      </c>
      <c r="K42" s="307"/>
      <c r="L42" s="310">
        <f>D42</f>
        <v>-1538.06</v>
      </c>
      <c r="M42" s="79"/>
      <c r="N42" s="79"/>
    </row>
    <row r="43" spans="1:14" x14ac:dyDescent="0.2">
      <c r="A43" s="308" t="s">
        <v>1021</v>
      </c>
      <c r="B43" s="308"/>
      <c r="C43" s="308"/>
      <c r="D43" s="307"/>
      <c r="E43" s="307"/>
      <c r="F43" s="307"/>
      <c r="G43" s="307"/>
      <c r="H43" s="319">
        <f>-0.59*L43</f>
        <v>0</v>
      </c>
      <c r="I43" s="307"/>
      <c r="J43" s="307"/>
      <c r="K43" s="319">
        <f>-0.41*L43</f>
        <v>0</v>
      </c>
      <c r="L43" s="310">
        <f>C43</f>
        <v>0</v>
      </c>
      <c r="M43" s="79"/>
      <c r="N43" s="79"/>
    </row>
    <row r="44" spans="1:14" x14ac:dyDescent="0.2">
      <c r="A44" s="320">
        <v>43008</v>
      </c>
      <c r="B44" s="321">
        <f>SUM(B33:D43)</f>
        <v>790133.94000000018</v>
      </c>
      <c r="C44" s="322"/>
      <c r="D44" s="322"/>
      <c r="E44" s="323"/>
      <c r="F44" s="324">
        <f>SUM(F33:F43)</f>
        <v>-22935.028699999995</v>
      </c>
      <c r="G44" s="324">
        <f t="shared" ref="G44" si="3">SUM(G33:G43)</f>
        <v>6381.2926999999991</v>
      </c>
      <c r="H44" s="324">
        <f>SUM(H33:H43)</f>
        <v>-68003.535700000008</v>
      </c>
      <c r="I44" s="324">
        <f t="shared" ref="I44:K44" si="4">SUM(I33:I43)</f>
        <v>-15937.9013</v>
      </c>
      <c r="J44" s="324">
        <f t="shared" si="4"/>
        <v>4434.4573</v>
      </c>
      <c r="K44" s="324">
        <f t="shared" si="4"/>
        <v>-47256.694299999996</v>
      </c>
      <c r="L44" s="322">
        <f>SUM(L33:L43)</f>
        <v>790133.94000000018</v>
      </c>
      <c r="M44" s="79"/>
      <c r="N44" s="79"/>
    </row>
    <row r="45" spans="1:14" x14ac:dyDescent="0.2">
      <c r="C45" s="79"/>
      <c r="D45" s="79"/>
      <c r="E45" s="79"/>
      <c r="F45" s="79"/>
      <c r="G45" s="79"/>
      <c r="H45" s="79"/>
      <c r="I45" s="79"/>
      <c r="J45" s="79"/>
      <c r="K45" s="342"/>
      <c r="L45" s="342"/>
      <c r="M45" s="79"/>
      <c r="N45" s="79"/>
    </row>
    <row r="46" spans="1:14" x14ac:dyDescent="0.2">
      <c r="C46" s="79"/>
      <c r="D46" s="79"/>
      <c r="E46" s="79"/>
      <c r="F46" s="79"/>
      <c r="G46" s="79"/>
      <c r="H46" s="79"/>
      <c r="I46" s="79"/>
      <c r="J46" s="79"/>
      <c r="K46" s="342"/>
      <c r="L46" s="342"/>
      <c r="M46" s="79"/>
      <c r="N46" s="79"/>
    </row>
  </sheetData>
  <mergeCells count="1">
    <mergeCell ref="L1:L3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 t="shared" ref="C4:C14" si="0">IF(F4+G4=0,"Hide","")</f>
        <v>#REF!</v>
      </c>
      <c r="E4" s="67" t="s">
        <v>133</v>
      </c>
      <c r="F4" s="67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5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>IF(F4+G4=0,"Hide","")</f>
        <v>#REF!</v>
      </c>
      <c r="E4" s="67" t="s">
        <v>133</v>
      </c>
      <c r="F4" s="67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5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outlineLevelRow="2" x14ac:dyDescent="0.2"/>
  <cols>
    <col min="1" max="1" width="9.28515625" bestFit="1" customWidth="1"/>
    <col min="2" max="2" width="1.7109375" customWidth="1"/>
    <col min="3" max="3" width="41.42578125" customWidth="1"/>
    <col min="4" max="4" width="10.140625" style="1" bestFit="1" customWidth="1"/>
    <col min="5" max="5" width="1.85546875" style="1" customWidth="1"/>
    <col min="6" max="6" width="10.7109375" style="1" customWidth="1"/>
    <col min="7" max="7" width="8.7109375" customWidth="1"/>
    <col min="8" max="8" width="9.28515625" style="32" bestFit="1" customWidth="1"/>
    <col min="9" max="9" width="12.7109375" style="11" bestFit="1" customWidth="1"/>
    <col min="10" max="10" width="31" style="10" bestFit="1" customWidth="1"/>
  </cols>
  <sheetData>
    <row r="1" spans="1:21" x14ac:dyDescent="0.2">
      <c r="C1" s="14" t="s">
        <v>62</v>
      </c>
    </row>
    <row r="2" spans="1:21" s="21" customFormat="1" ht="36.75" customHeight="1" x14ac:dyDescent="0.2">
      <c r="C2" s="21" t="s">
        <v>171</v>
      </c>
      <c r="D2" s="22"/>
      <c r="E2" s="22"/>
      <c r="F2" s="22"/>
      <c r="H2" s="33"/>
      <c r="I2" s="23"/>
    </row>
    <row r="3" spans="1:21" ht="38.25" x14ac:dyDescent="0.2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8" x14ac:dyDescent="0.25">
      <c r="A4">
        <v>2</v>
      </c>
      <c r="B4" s="14" t="s">
        <v>58</v>
      </c>
      <c r="C4" s="2"/>
      <c r="F4" s="4"/>
      <c r="G4" s="16"/>
    </row>
    <row r="5" spans="1:21" outlineLevel="2" x14ac:dyDescent="0.2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outlineLevel="1" x14ac:dyDescent="0.2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.5" outlineLevel="2" x14ac:dyDescent="0.2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.5" outlineLevel="2" x14ac:dyDescent="0.2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outlineLevel="1" x14ac:dyDescent="0.2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.5" outlineLevel="2" x14ac:dyDescent="0.2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outlineLevel="1" x14ac:dyDescent="0.2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outlineLevel="1" x14ac:dyDescent="0.2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outlineLevel="1" x14ac:dyDescent="0.2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outlineLevel="1" x14ac:dyDescent="0.2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outlineLevel="1" x14ac:dyDescent="0.2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outlineLevel="1" x14ac:dyDescent="0.2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outlineLevel="1" x14ac:dyDescent="0.2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outlineLevel="1" x14ac:dyDescent="0.2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outlineLevel="1" x14ac:dyDescent="0.2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x14ac:dyDescent="0.2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25">
      <c r="A57">
        <v>17</v>
      </c>
      <c r="B57" s="14" t="s">
        <v>59</v>
      </c>
      <c r="C57" s="2"/>
      <c r="F57" s="4"/>
      <c r="G57" s="18"/>
    </row>
    <row r="58" spans="1:21" outlineLevel="2" x14ac:dyDescent="0.2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outlineLevel="1" x14ac:dyDescent="0.2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outlineLevel="1" x14ac:dyDescent="0.2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outlineLevel="1" x14ac:dyDescent="0.2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outlineLevel="1" x14ac:dyDescent="0.2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outlineLevel="1" x14ac:dyDescent="0.2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.5" outlineLevel="2" x14ac:dyDescent="0.2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outlineLevel="1" x14ac:dyDescent="0.2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outlineLevel="1" x14ac:dyDescent="0.2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outlineLevel="1" x14ac:dyDescent="0.2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outlineLevel="1" x14ac:dyDescent="0.2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outlineLevel="1" x14ac:dyDescent="0.2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outlineLevel="2" x14ac:dyDescent="0.2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outlineLevel="1" x14ac:dyDescent="0.2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outlineLevel="1" x14ac:dyDescent="0.2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outlineLevel="1" x14ac:dyDescent="0.2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outlineLevel="1" x14ac:dyDescent="0.2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outlineLevel="1" x14ac:dyDescent="0.2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outlineLevel="1" x14ac:dyDescent="0.2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outlineLevel="1" x14ac:dyDescent="0.2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outlineLevel="1" x14ac:dyDescent="0.2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outlineLevel="1" x14ac:dyDescent="0.2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outlineLevel="1" x14ac:dyDescent="0.2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outlineLevel="1" x14ac:dyDescent="0.2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outlineLevel="1" x14ac:dyDescent="0.2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outlineLevel="1" x14ac:dyDescent="0.2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x14ac:dyDescent="0.2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x14ac:dyDescent="0.2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">
      <c r="C145" t="s">
        <v>75</v>
      </c>
      <c r="G145" s="1"/>
    </row>
    <row r="146" spans="1:10" x14ac:dyDescent="0.2">
      <c r="G146" s="1"/>
    </row>
    <row r="147" spans="1:10" x14ac:dyDescent="0.2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">
      <c r="A149">
        <v>100</v>
      </c>
      <c r="C149" t="s">
        <v>81</v>
      </c>
      <c r="G149" s="1"/>
    </row>
    <row r="150" spans="1:10" x14ac:dyDescent="0.2">
      <c r="A150">
        <v>102</v>
      </c>
      <c r="C150" t="s">
        <v>76</v>
      </c>
      <c r="G150" s="1"/>
    </row>
  </sheetData>
  <autoFilter ref="A3:U150"/>
  <phoneticPr fontId="155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75" x14ac:dyDescent="0.2"/>
  <cols>
    <col min="2" max="2" width="11" bestFit="1" customWidth="1"/>
    <col min="3" max="3" width="12.85546875" bestFit="1" customWidth="1"/>
    <col min="4" max="4" width="9.140625" style="1"/>
    <col min="5" max="5" width="26.140625" bestFit="1" customWidth="1"/>
  </cols>
  <sheetData>
    <row r="1" spans="1:5" x14ac:dyDescent="0.2">
      <c r="A1" s="14" t="s">
        <v>170</v>
      </c>
    </row>
    <row r="3" spans="1:5" ht="13.5" thickBot="1" x14ac:dyDescent="0.25">
      <c r="A3" t="s">
        <v>119</v>
      </c>
      <c r="B3" t="s">
        <v>120</v>
      </c>
      <c r="C3" t="s">
        <v>121</v>
      </c>
      <c r="D3" s="51">
        <v>57600</v>
      </c>
    </row>
    <row r="4" spans="1:5" ht="13.5" thickTop="1" x14ac:dyDescent="0.2"/>
    <row r="5" spans="1:5" x14ac:dyDescent="0.2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">
      <c r="C6" t="s">
        <v>125</v>
      </c>
      <c r="D6" s="1">
        <v>5000</v>
      </c>
    </row>
    <row r="8" spans="1:5" x14ac:dyDescent="0.2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"/>
    <row r="10" spans="1:5" x14ac:dyDescent="0.2">
      <c r="B10" t="s">
        <v>136</v>
      </c>
      <c r="C10" t="s">
        <v>135</v>
      </c>
      <c r="D10" s="1">
        <v>1562</v>
      </c>
      <c r="E10" t="s">
        <v>137</v>
      </c>
    </row>
    <row r="11" spans="1:5" x14ac:dyDescent="0.2">
      <c r="B11" t="s">
        <v>136</v>
      </c>
      <c r="C11" t="s">
        <v>135</v>
      </c>
      <c r="E11" t="s">
        <v>138</v>
      </c>
    </row>
    <row r="13" spans="1:5" x14ac:dyDescent="0.2">
      <c r="C13" t="s">
        <v>164</v>
      </c>
      <c r="D13" s="1">
        <v>15000</v>
      </c>
    </row>
    <row r="15" spans="1:5" x14ac:dyDescent="0.2">
      <c r="C15" t="s">
        <v>148</v>
      </c>
      <c r="D15" s="1">
        <v>1200</v>
      </c>
      <c r="E15" t="s">
        <v>165</v>
      </c>
    </row>
    <row r="17" spans="2:4" x14ac:dyDescent="0.2">
      <c r="C17" t="s">
        <v>166</v>
      </c>
      <c r="D17" s="1">
        <v>500</v>
      </c>
    </row>
    <row r="19" spans="2:4" x14ac:dyDescent="0.2">
      <c r="B19" s="3" t="s">
        <v>53</v>
      </c>
      <c r="D19" s="1">
        <v>3000</v>
      </c>
    </row>
    <row r="20" spans="2:4" x14ac:dyDescent="0.2">
      <c r="B20" s="3" t="s">
        <v>54</v>
      </c>
      <c r="D20" s="1">
        <v>3000</v>
      </c>
    </row>
    <row r="21" spans="2:4" x14ac:dyDescent="0.2">
      <c r="B21" s="3" t="s">
        <v>55</v>
      </c>
      <c r="D21" s="1">
        <v>3000</v>
      </c>
    </row>
    <row r="22" spans="2:4" x14ac:dyDescent="0.2">
      <c r="D22" s="49"/>
    </row>
    <row r="23" spans="2:4" x14ac:dyDescent="0.2">
      <c r="D23" s="48">
        <f>SUM(D5:D22)</f>
        <v>51946</v>
      </c>
    </row>
    <row r="25" spans="2:4" x14ac:dyDescent="0.2">
      <c r="B25" t="s">
        <v>169</v>
      </c>
      <c r="D25" s="1">
        <v>5000</v>
      </c>
    </row>
    <row r="27" spans="2:4" ht="13.5" thickBot="1" x14ac:dyDescent="0.25">
      <c r="D27" s="50">
        <f>SUM(D23:D26)</f>
        <v>56946</v>
      </c>
    </row>
    <row r="28" spans="2:4" ht="13.5" thickTop="1" x14ac:dyDescent="0.2"/>
  </sheetData>
  <phoneticPr fontId="15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75" x14ac:dyDescent="0.2"/>
  <cols>
    <col min="1" max="1" width="11.7109375" bestFit="1" customWidth="1"/>
    <col min="6" max="6" width="47" bestFit="1" customWidth="1"/>
    <col min="8" max="8" width="10.28515625" style="52" bestFit="1" customWidth="1"/>
  </cols>
  <sheetData>
    <row r="1" spans="1:11" x14ac:dyDescent="0.2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2" t="s">
        <v>178</v>
      </c>
      <c r="I1" t="s">
        <v>179</v>
      </c>
      <c r="J1" t="s">
        <v>180</v>
      </c>
      <c r="K1" t="s">
        <v>181</v>
      </c>
    </row>
    <row r="2" spans="1:11" x14ac:dyDescent="0.2">
      <c r="A2" s="53">
        <v>38261</v>
      </c>
      <c r="B2" t="s">
        <v>182</v>
      </c>
      <c r="C2" t="s">
        <v>183</v>
      </c>
      <c r="D2" t="s">
        <v>184</v>
      </c>
      <c r="F2" t="s">
        <v>185</v>
      </c>
      <c r="H2" s="52">
        <v>-221.33</v>
      </c>
      <c r="J2" t="s">
        <v>186</v>
      </c>
      <c r="K2">
        <v>1522</v>
      </c>
    </row>
    <row r="3" spans="1:11" x14ac:dyDescent="0.2">
      <c r="A3" s="53">
        <v>38268</v>
      </c>
      <c r="B3" t="s">
        <v>187</v>
      </c>
      <c r="C3" t="s">
        <v>188</v>
      </c>
      <c r="D3" t="s">
        <v>184</v>
      </c>
      <c r="F3" t="s">
        <v>189</v>
      </c>
      <c r="H3" s="52">
        <v>7</v>
      </c>
      <c r="I3" t="s">
        <v>190</v>
      </c>
      <c r="J3" t="s">
        <v>186</v>
      </c>
      <c r="K3">
        <v>3169</v>
      </c>
    </row>
    <row r="4" spans="1:11" x14ac:dyDescent="0.2">
      <c r="A4" s="53">
        <v>38285</v>
      </c>
      <c r="B4" t="s">
        <v>187</v>
      </c>
      <c r="C4" t="s">
        <v>188</v>
      </c>
      <c r="D4" t="s">
        <v>184</v>
      </c>
      <c r="F4" t="s">
        <v>191</v>
      </c>
      <c r="H4" s="52">
        <v>313</v>
      </c>
      <c r="I4" t="s">
        <v>190</v>
      </c>
      <c r="J4" t="s">
        <v>186</v>
      </c>
      <c r="K4">
        <v>3055</v>
      </c>
    </row>
    <row r="5" spans="1:11" x14ac:dyDescent="0.2">
      <c r="A5" s="53">
        <v>38310</v>
      </c>
      <c r="B5" t="s">
        <v>187</v>
      </c>
      <c r="C5" t="s">
        <v>188</v>
      </c>
      <c r="D5" t="s">
        <v>184</v>
      </c>
      <c r="F5" t="s">
        <v>192</v>
      </c>
      <c r="H5" s="52">
        <v>65.31</v>
      </c>
      <c r="I5" t="s">
        <v>190</v>
      </c>
      <c r="J5" t="s">
        <v>186</v>
      </c>
      <c r="K5">
        <v>5547</v>
      </c>
    </row>
    <row r="6" spans="1:11" x14ac:dyDescent="0.2">
      <c r="A6" s="53">
        <v>38313</v>
      </c>
      <c r="B6" t="s">
        <v>182</v>
      </c>
      <c r="C6" t="s">
        <v>188</v>
      </c>
      <c r="D6" t="s">
        <v>184</v>
      </c>
      <c r="F6" t="s">
        <v>193</v>
      </c>
      <c r="H6" s="52">
        <v>5000</v>
      </c>
      <c r="I6" t="s">
        <v>190</v>
      </c>
      <c r="J6" t="s">
        <v>186</v>
      </c>
      <c r="K6">
        <v>4677</v>
      </c>
    </row>
    <row r="7" spans="1:11" x14ac:dyDescent="0.2">
      <c r="A7" s="53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2">
        <v>132.4</v>
      </c>
      <c r="J7" t="s">
        <v>197</v>
      </c>
      <c r="K7">
        <v>19768</v>
      </c>
    </row>
    <row r="8" spans="1:11" x14ac:dyDescent="0.2">
      <c r="A8" s="53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2">
        <v>24</v>
      </c>
      <c r="J8" t="s">
        <v>197</v>
      </c>
      <c r="K8">
        <v>19809</v>
      </c>
    </row>
    <row r="9" spans="1:11" x14ac:dyDescent="0.2">
      <c r="A9" s="53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2">
        <v>41.8</v>
      </c>
      <c r="J9" t="s">
        <v>197</v>
      </c>
      <c r="K9">
        <v>21578</v>
      </c>
    </row>
    <row r="10" spans="1:11" x14ac:dyDescent="0.2">
      <c r="A10" s="53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2">
        <v>986</v>
      </c>
      <c r="J10" t="s">
        <v>197</v>
      </c>
      <c r="K10">
        <v>29233</v>
      </c>
    </row>
    <row r="11" spans="1:11" x14ac:dyDescent="0.2">
      <c r="A11" s="53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2">
        <v>213</v>
      </c>
      <c r="J11" t="s">
        <v>197</v>
      </c>
      <c r="K11">
        <v>30615</v>
      </c>
    </row>
    <row r="12" spans="1:11" x14ac:dyDescent="0.2">
      <c r="A12" s="53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2">
        <v>30000</v>
      </c>
      <c r="I12" t="s">
        <v>214</v>
      </c>
      <c r="J12" t="s">
        <v>197</v>
      </c>
      <c r="K12">
        <v>30290</v>
      </c>
    </row>
    <row r="13" spans="1:11" x14ac:dyDescent="0.2">
      <c r="A13" s="53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2">
        <v>64000</v>
      </c>
      <c r="I13" t="s">
        <v>218</v>
      </c>
      <c r="J13" t="s">
        <v>219</v>
      </c>
      <c r="K13">
        <v>37629</v>
      </c>
    </row>
    <row r="14" spans="1:11" x14ac:dyDescent="0.2">
      <c r="A14" s="53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2">
        <v>-9000</v>
      </c>
      <c r="I14" t="s">
        <v>218</v>
      </c>
      <c r="J14" t="s">
        <v>219</v>
      </c>
      <c r="K14">
        <v>37631</v>
      </c>
    </row>
    <row r="15" spans="1:11" x14ac:dyDescent="0.2">
      <c r="A15" s="53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2">
        <v>-64000</v>
      </c>
      <c r="I15" t="s">
        <v>218</v>
      </c>
      <c r="J15" t="s">
        <v>219</v>
      </c>
      <c r="K15">
        <v>38027</v>
      </c>
    </row>
    <row r="16" spans="1:11" x14ac:dyDescent="0.2">
      <c r="A16" s="53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2">
        <v>9000</v>
      </c>
      <c r="I16" t="s">
        <v>218</v>
      </c>
      <c r="J16" t="s">
        <v>219</v>
      </c>
      <c r="K16">
        <v>38029</v>
      </c>
    </row>
    <row r="17" spans="1:11" x14ac:dyDescent="0.2">
      <c r="A17" s="53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2">
        <v>-64000</v>
      </c>
      <c r="I17" t="s">
        <v>218</v>
      </c>
      <c r="J17" t="s">
        <v>219</v>
      </c>
      <c r="K17">
        <v>38031</v>
      </c>
    </row>
    <row r="18" spans="1:11" x14ac:dyDescent="0.2">
      <c r="A18" s="53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2">
        <v>9000</v>
      </c>
      <c r="I18" t="s">
        <v>218</v>
      </c>
      <c r="J18" t="s">
        <v>219</v>
      </c>
      <c r="K18">
        <v>38033</v>
      </c>
    </row>
    <row r="19" spans="1:11" x14ac:dyDescent="0.2">
      <c r="A19" s="53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2">
        <v>177</v>
      </c>
      <c r="J19" t="s">
        <v>197</v>
      </c>
      <c r="K19">
        <v>35400</v>
      </c>
    </row>
    <row r="20" spans="1:11" x14ac:dyDescent="0.2">
      <c r="A20" s="53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2">
        <v>-136</v>
      </c>
      <c r="I20" t="s">
        <v>214</v>
      </c>
      <c r="J20" t="s">
        <v>197</v>
      </c>
      <c r="K20">
        <v>36824</v>
      </c>
    </row>
    <row r="21" spans="1:11" x14ac:dyDescent="0.2">
      <c r="A21" s="53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2">
        <v>211.02</v>
      </c>
      <c r="I21" t="s">
        <v>214</v>
      </c>
      <c r="J21" t="s">
        <v>197</v>
      </c>
      <c r="K21">
        <v>38977</v>
      </c>
    </row>
    <row r="22" spans="1:11" x14ac:dyDescent="0.2">
      <c r="A22" s="53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2">
        <v>166.18</v>
      </c>
      <c r="I22" t="s">
        <v>214</v>
      </c>
      <c r="J22" t="s">
        <v>197</v>
      </c>
      <c r="K22">
        <v>39057</v>
      </c>
    </row>
    <row r="23" spans="1:11" x14ac:dyDescent="0.2">
      <c r="A23" s="53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2">
        <v>84.41</v>
      </c>
      <c r="I23" t="s">
        <v>214</v>
      </c>
      <c r="J23" t="s">
        <v>197</v>
      </c>
      <c r="K23">
        <v>39063</v>
      </c>
    </row>
    <row r="24" spans="1:11" x14ac:dyDescent="0.2">
      <c r="A24" s="53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2">
        <v>-84.41</v>
      </c>
      <c r="I24" t="s">
        <v>214</v>
      </c>
      <c r="J24" t="s">
        <v>245</v>
      </c>
      <c r="K24">
        <v>41309</v>
      </c>
    </row>
    <row r="25" spans="1:11" x14ac:dyDescent="0.2">
      <c r="A25" s="53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2">
        <v>-211.02</v>
      </c>
      <c r="I25" t="s">
        <v>214</v>
      </c>
      <c r="J25" t="s">
        <v>245</v>
      </c>
      <c r="K25">
        <v>41315</v>
      </c>
    </row>
    <row r="26" spans="1:11" x14ac:dyDescent="0.2">
      <c r="A26" s="53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2">
        <v>88.55</v>
      </c>
      <c r="I26" t="s">
        <v>214</v>
      </c>
      <c r="J26" t="s">
        <v>245</v>
      </c>
      <c r="K26">
        <v>45185</v>
      </c>
    </row>
    <row r="27" spans="1:11" x14ac:dyDescent="0.2">
      <c r="A27" s="53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2">
        <v>221.37</v>
      </c>
      <c r="I27" t="s">
        <v>214</v>
      </c>
      <c r="J27" t="s">
        <v>245</v>
      </c>
      <c r="K27">
        <v>45191</v>
      </c>
    </row>
    <row r="28" spans="1:11" x14ac:dyDescent="0.2">
      <c r="A28" s="53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2">
        <v>-319</v>
      </c>
      <c r="I28" t="s">
        <v>256</v>
      </c>
      <c r="J28" t="s">
        <v>245</v>
      </c>
      <c r="K28">
        <v>46243</v>
      </c>
    </row>
    <row r="29" spans="1:11" x14ac:dyDescent="0.2">
      <c r="A29" s="53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2">
        <v>2500</v>
      </c>
      <c r="J29" t="s">
        <v>245</v>
      </c>
      <c r="K29">
        <v>50463</v>
      </c>
    </row>
    <row r="30" spans="1:11" x14ac:dyDescent="0.2">
      <c r="A30" s="53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2">
        <v>4450</v>
      </c>
      <c r="I30" t="s">
        <v>263</v>
      </c>
      <c r="J30" t="s">
        <v>219</v>
      </c>
      <c r="K30">
        <v>53868</v>
      </c>
    </row>
    <row r="31" spans="1:11" x14ac:dyDescent="0.2">
      <c r="A31" s="53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2">
        <v>4450</v>
      </c>
      <c r="I31" t="s">
        <v>263</v>
      </c>
      <c r="J31" t="s">
        <v>219</v>
      </c>
      <c r="K31">
        <v>53882</v>
      </c>
    </row>
    <row r="32" spans="1:11" x14ac:dyDescent="0.2">
      <c r="A32" s="53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2">
        <v>-4450</v>
      </c>
      <c r="I32" t="s">
        <v>263</v>
      </c>
      <c r="J32" t="s">
        <v>219</v>
      </c>
      <c r="K32">
        <v>53896</v>
      </c>
    </row>
    <row r="33" spans="1:11" x14ac:dyDescent="0.2">
      <c r="A33" s="53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2">
        <v>1854.17</v>
      </c>
      <c r="I33" t="s">
        <v>263</v>
      </c>
      <c r="J33" t="s">
        <v>219</v>
      </c>
      <c r="K33">
        <v>53898</v>
      </c>
    </row>
    <row r="34" spans="1:11" x14ac:dyDescent="0.2">
      <c r="A34" s="53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2">
        <v>-370.83</v>
      </c>
      <c r="I34" t="s">
        <v>263</v>
      </c>
      <c r="J34" t="s">
        <v>219</v>
      </c>
      <c r="K34">
        <v>53900</v>
      </c>
    </row>
    <row r="35" spans="1:11" x14ac:dyDescent="0.2">
      <c r="A35" s="53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2">
        <v>-370.83</v>
      </c>
      <c r="I35" t="s">
        <v>263</v>
      </c>
      <c r="J35" t="s">
        <v>219</v>
      </c>
      <c r="K35">
        <v>53902</v>
      </c>
    </row>
    <row r="36" spans="1:11" x14ac:dyDescent="0.2">
      <c r="A36" s="53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2">
        <v>-24</v>
      </c>
      <c r="I36" t="s">
        <v>277</v>
      </c>
      <c r="J36" t="s">
        <v>219</v>
      </c>
      <c r="K36">
        <v>59052</v>
      </c>
    </row>
    <row r="37" spans="1:11" x14ac:dyDescent="0.2">
      <c r="A37" s="53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2">
        <v>-5</v>
      </c>
      <c r="I37" t="s">
        <v>218</v>
      </c>
      <c r="J37" t="s">
        <v>219</v>
      </c>
      <c r="K37">
        <v>59054</v>
      </c>
    </row>
    <row r="38" spans="1:11" x14ac:dyDescent="0.2">
      <c r="A38" s="53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2">
        <v>-36</v>
      </c>
      <c r="I38" t="s">
        <v>282</v>
      </c>
      <c r="J38" t="s">
        <v>219</v>
      </c>
      <c r="K38">
        <v>59056</v>
      </c>
    </row>
    <row r="39" spans="1:11" x14ac:dyDescent="0.2">
      <c r="A39" s="53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2">
        <v>-88.55</v>
      </c>
      <c r="I39" t="s">
        <v>285</v>
      </c>
      <c r="J39" t="s">
        <v>219</v>
      </c>
      <c r="K39">
        <v>59058</v>
      </c>
    </row>
    <row r="40" spans="1:11" x14ac:dyDescent="0.2">
      <c r="A40" s="53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2">
        <v>142.4</v>
      </c>
      <c r="I40" t="s">
        <v>288</v>
      </c>
      <c r="J40" t="s">
        <v>219</v>
      </c>
      <c r="K40">
        <v>59060</v>
      </c>
    </row>
    <row r="41" spans="1:11" x14ac:dyDescent="0.2">
      <c r="A41" s="53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2">
        <v>-1714</v>
      </c>
      <c r="I41" t="s">
        <v>291</v>
      </c>
      <c r="J41" t="s">
        <v>219</v>
      </c>
      <c r="K41">
        <v>59062</v>
      </c>
    </row>
    <row r="42" spans="1:11" x14ac:dyDescent="0.2">
      <c r="A42" s="53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2">
        <v>912.15</v>
      </c>
      <c r="I42" t="s">
        <v>295</v>
      </c>
      <c r="J42" t="s">
        <v>219</v>
      </c>
      <c r="K42">
        <v>59081</v>
      </c>
    </row>
    <row r="43" spans="1:11" x14ac:dyDescent="0.2">
      <c r="A43" s="53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2">
        <v>54</v>
      </c>
      <c r="I43" t="s">
        <v>298</v>
      </c>
      <c r="J43" t="s">
        <v>219</v>
      </c>
      <c r="K43">
        <v>59083</v>
      </c>
    </row>
    <row r="44" spans="1:11" x14ac:dyDescent="0.2">
      <c r="A44" s="53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2">
        <v>889.39</v>
      </c>
      <c r="J44" t="s">
        <v>245</v>
      </c>
      <c r="K44">
        <v>59766</v>
      </c>
    </row>
    <row r="45" spans="1:11" x14ac:dyDescent="0.2">
      <c r="A45" s="53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2">
        <v>12049.72</v>
      </c>
      <c r="I45" t="s">
        <v>214</v>
      </c>
      <c r="J45" t="s">
        <v>245</v>
      </c>
      <c r="K45">
        <v>60309</v>
      </c>
    </row>
    <row r="46" spans="1:11" x14ac:dyDescent="0.2">
      <c r="A46" s="53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2">
        <v>-370.84</v>
      </c>
      <c r="I46" t="s">
        <v>263</v>
      </c>
      <c r="J46" t="s">
        <v>219</v>
      </c>
      <c r="K46">
        <v>53904</v>
      </c>
    </row>
    <row r="47" spans="1:11" x14ac:dyDescent="0.2">
      <c r="A47" s="53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2">
        <v>177</v>
      </c>
      <c r="J47" t="s">
        <v>245</v>
      </c>
      <c r="K47">
        <v>68244</v>
      </c>
    </row>
    <row r="48" spans="1:11" x14ac:dyDescent="0.2">
      <c r="A48" s="53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2">
        <v>-370.84</v>
      </c>
      <c r="I48" t="s">
        <v>263</v>
      </c>
      <c r="J48" t="s">
        <v>219</v>
      </c>
      <c r="K48">
        <v>53906</v>
      </c>
    </row>
    <row r="49" spans="1:11" x14ac:dyDescent="0.2">
      <c r="A49" s="53">
        <v>38687</v>
      </c>
      <c r="B49" t="s">
        <v>187</v>
      </c>
      <c r="C49" t="s">
        <v>312</v>
      </c>
      <c r="D49" t="s">
        <v>184</v>
      </c>
      <c r="F49" t="s">
        <v>313</v>
      </c>
      <c r="H49" s="52">
        <v>1000</v>
      </c>
      <c r="J49" t="s">
        <v>219</v>
      </c>
      <c r="K49">
        <v>74422</v>
      </c>
    </row>
    <row r="50" spans="1:11" x14ac:dyDescent="0.2">
      <c r="A50" s="53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2">
        <v>-370.83</v>
      </c>
      <c r="I50" t="s">
        <v>263</v>
      </c>
      <c r="J50" t="s">
        <v>219</v>
      </c>
      <c r="K50">
        <v>53908</v>
      </c>
    </row>
    <row r="51" spans="1:11" x14ac:dyDescent="0.2">
      <c r="A51" s="53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2">
        <v>-16001</v>
      </c>
      <c r="I51" t="s">
        <v>218</v>
      </c>
      <c r="J51" t="s">
        <v>219</v>
      </c>
      <c r="K51">
        <v>83444</v>
      </c>
    </row>
    <row r="52" spans="1:11" x14ac:dyDescent="0.2">
      <c r="A52" s="53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2">
        <v>16001</v>
      </c>
      <c r="I52" t="s">
        <v>214</v>
      </c>
      <c r="J52" t="s">
        <v>245</v>
      </c>
      <c r="K52">
        <v>73968</v>
      </c>
    </row>
    <row r="53" spans="1:11" x14ac:dyDescent="0.2">
      <c r="A53" s="53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2">
        <v>-649</v>
      </c>
      <c r="I53" t="s">
        <v>214</v>
      </c>
      <c r="J53" t="s">
        <v>245</v>
      </c>
      <c r="K53">
        <v>81564</v>
      </c>
    </row>
    <row r="54" spans="1:11" x14ac:dyDescent="0.2">
      <c r="A54" s="53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2">
        <v>227.12</v>
      </c>
      <c r="J54" t="s">
        <v>245</v>
      </c>
      <c r="K54">
        <v>85852</v>
      </c>
    </row>
    <row r="55" spans="1:11" x14ac:dyDescent="0.2">
      <c r="A55" s="53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2">
        <v>649</v>
      </c>
      <c r="I55" t="s">
        <v>214</v>
      </c>
      <c r="J55" t="s">
        <v>245</v>
      </c>
      <c r="K55">
        <v>83534</v>
      </c>
    </row>
    <row r="56" spans="1:11" x14ac:dyDescent="0.2">
      <c r="A56" s="53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2">
        <v>25000</v>
      </c>
      <c r="I56" t="s">
        <v>214</v>
      </c>
      <c r="J56" t="s">
        <v>245</v>
      </c>
      <c r="K56">
        <v>91160</v>
      </c>
    </row>
    <row r="57" spans="1:11" x14ac:dyDescent="0.2">
      <c r="A57" s="53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2">
        <v>-25000</v>
      </c>
      <c r="I57" t="s">
        <v>218</v>
      </c>
      <c r="J57" t="s">
        <v>219</v>
      </c>
      <c r="K57">
        <v>94168</v>
      </c>
    </row>
    <row r="58" spans="1:11" x14ac:dyDescent="0.2">
      <c r="A58" s="53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2">
        <v>-1717</v>
      </c>
      <c r="I58" t="s">
        <v>291</v>
      </c>
      <c r="J58" t="s">
        <v>219</v>
      </c>
      <c r="K58">
        <v>94199</v>
      </c>
    </row>
    <row r="59" spans="1:11" x14ac:dyDescent="0.2">
      <c r="A59" s="53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2">
        <v>822.96</v>
      </c>
      <c r="J59" t="s">
        <v>245</v>
      </c>
      <c r="K59">
        <v>95071</v>
      </c>
    </row>
    <row r="60" spans="1:11" x14ac:dyDescent="0.2">
      <c r="A60" s="53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2">
        <v>852.85</v>
      </c>
      <c r="J60" t="s">
        <v>245</v>
      </c>
      <c r="K60">
        <v>101333</v>
      </c>
    </row>
    <row r="61" spans="1:11" x14ac:dyDescent="0.2">
      <c r="A61" s="53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2">
        <v>113.97</v>
      </c>
      <c r="J61" t="s">
        <v>245</v>
      </c>
      <c r="K61">
        <v>104736</v>
      </c>
    </row>
    <row r="62" spans="1:11" x14ac:dyDescent="0.2">
      <c r="A62" s="53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2">
        <v>-889.39</v>
      </c>
      <c r="I62" t="s">
        <v>350</v>
      </c>
      <c r="J62" t="s">
        <v>219</v>
      </c>
      <c r="K62">
        <v>105332</v>
      </c>
    </row>
    <row r="63" spans="1:11" x14ac:dyDescent="0.2">
      <c r="A63" s="53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2">
        <v>-227.12</v>
      </c>
      <c r="I63" t="s">
        <v>350</v>
      </c>
      <c r="J63" t="s">
        <v>219</v>
      </c>
      <c r="K63">
        <v>105334</v>
      </c>
    </row>
    <row r="64" spans="1:11" x14ac:dyDescent="0.2">
      <c r="A64" s="53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2">
        <v>-822.96</v>
      </c>
      <c r="I64" t="s">
        <v>350</v>
      </c>
      <c r="J64" t="s">
        <v>219</v>
      </c>
      <c r="K64">
        <v>105336</v>
      </c>
    </row>
    <row r="65" spans="1:11" x14ac:dyDescent="0.2">
      <c r="A65" s="53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2">
        <v>-113.97</v>
      </c>
      <c r="I65" t="s">
        <v>350</v>
      </c>
      <c r="J65" t="s">
        <v>219</v>
      </c>
      <c r="K65">
        <v>105338</v>
      </c>
    </row>
    <row r="66" spans="1:11" x14ac:dyDescent="0.2">
      <c r="A66" s="53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2">
        <v>106.87</v>
      </c>
      <c r="J66" t="s">
        <v>245</v>
      </c>
      <c r="K66">
        <v>105703</v>
      </c>
    </row>
    <row r="67" spans="1:11" x14ac:dyDescent="0.2">
      <c r="A67" s="53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2">
        <v>25896</v>
      </c>
      <c r="I67" t="s">
        <v>214</v>
      </c>
      <c r="J67" t="s">
        <v>245</v>
      </c>
      <c r="K67">
        <v>106841</v>
      </c>
    </row>
    <row r="68" spans="1:11" x14ac:dyDescent="0.2">
      <c r="A68" s="53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2">
        <v>1797.06</v>
      </c>
      <c r="J68" t="s">
        <v>245</v>
      </c>
      <c r="K68">
        <v>107680</v>
      </c>
    </row>
    <row r="69" spans="1:11" x14ac:dyDescent="0.2">
      <c r="A69" s="53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2">
        <v>26</v>
      </c>
      <c r="J69" t="s">
        <v>245</v>
      </c>
      <c r="K69">
        <v>113682</v>
      </c>
    </row>
    <row r="70" spans="1:11" x14ac:dyDescent="0.2">
      <c r="A70" s="53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2">
        <v>-150</v>
      </c>
      <c r="I70" t="s">
        <v>372</v>
      </c>
      <c r="J70" t="s">
        <v>373</v>
      </c>
      <c r="K70">
        <v>115503</v>
      </c>
    </row>
    <row r="71" spans="1:11" x14ac:dyDescent="0.2">
      <c r="A71" s="53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2">
        <v>-35896</v>
      </c>
      <c r="I71" t="s">
        <v>218</v>
      </c>
      <c r="J71" t="s">
        <v>373</v>
      </c>
      <c r="K71">
        <v>115505</v>
      </c>
    </row>
    <row r="72" spans="1:11" x14ac:dyDescent="0.2">
      <c r="A72" s="53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2">
        <v>10000</v>
      </c>
      <c r="I72" t="s">
        <v>376</v>
      </c>
      <c r="J72" t="s">
        <v>373</v>
      </c>
      <c r="K72">
        <v>115507</v>
      </c>
    </row>
    <row r="73" spans="1:11" x14ac:dyDescent="0.2">
      <c r="A73" s="53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2">
        <v>-1797.06</v>
      </c>
      <c r="I73" t="s">
        <v>350</v>
      </c>
      <c r="J73" t="s">
        <v>373</v>
      </c>
      <c r="K73">
        <v>115509</v>
      </c>
    </row>
    <row r="74" spans="1:11" x14ac:dyDescent="0.2">
      <c r="A74" s="53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2">
        <v>-26</v>
      </c>
      <c r="I74" t="s">
        <v>377</v>
      </c>
      <c r="J74" t="s">
        <v>373</v>
      </c>
      <c r="K74">
        <v>115511</v>
      </c>
    </row>
    <row r="75" spans="1:11" x14ac:dyDescent="0.2">
      <c r="A75" s="53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2">
        <v>4450</v>
      </c>
      <c r="I75" t="s">
        <v>263</v>
      </c>
      <c r="J75" t="s">
        <v>373</v>
      </c>
      <c r="K75">
        <v>115513</v>
      </c>
    </row>
    <row r="76" spans="1:11" x14ac:dyDescent="0.2">
      <c r="A76" s="53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2">
        <v>500</v>
      </c>
      <c r="I76" t="s">
        <v>380</v>
      </c>
      <c r="J76" t="s">
        <v>373</v>
      </c>
      <c r="K76">
        <v>115515</v>
      </c>
    </row>
    <row r="77" spans="1:11" x14ac:dyDescent="0.2">
      <c r="A77" s="53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2">
        <v>-5219.72</v>
      </c>
      <c r="I77" t="s">
        <v>214</v>
      </c>
      <c r="J77" t="s">
        <v>245</v>
      </c>
      <c r="K77">
        <v>116407</v>
      </c>
    </row>
    <row r="78" spans="1:11" x14ac:dyDescent="0.2">
      <c r="A78" s="53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2">
        <v>997.1</v>
      </c>
      <c r="J78" t="s">
        <v>373</v>
      </c>
      <c r="K78">
        <v>128649</v>
      </c>
    </row>
    <row r="79" spans="1:11" x14ac:dyDescent="0.2">
      <c r="A79" s="53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2">
        <v>-81.08</v>
      </c>
      <c r="I79" t="s">
        <v>214</v>
      </c>
      <c r="J79" t="s">
        <v>245</v>
      </c>
      <c r="K79">
        <v>126762</v>
      </c>
    </row>
    <row r="80" spans="1:11" x14ac:dyDescent="0.2">
      <c r="A80" s="53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2">
        <v>-3152.59</v>
      </c>
      <c r="I80" t="s">
        <v>214</v>
      </c>
      <c r="J80" t="s">
        <v>245</v>
      </c>
      <c r="K80">
        <v>129013</v>
      </c>
    </row>
    <row r="81" spans="1:11" x14ac:dyDescent="0.2">
      <c r="A81" s="53">
        <v>39113</v>
      </c>
      <c r="B81" t="s">
        <v>182</v>
      </c>
      <c r="C81" t="s">
        <v>393</v>
      </c>
      <c r="D81" t="s">
        <v>184</v>
      </c>
      <c r="E81" s="54">
        <v>37622</v>
      </c>
      <c r="F81" t="s">
        <v>394</v>
      </c>
      <c r="H81" s="52">
        <v>-1321.98</v>
      </c>
      <c r="J81" t="s">
        <v>373</v>
      </c>
      <c r="K81">
        <v>131806</v>
      </c>
    </row>
    <row r="82" spans="1:11" x14ac:dyDescent="0.2">
      <c r="A82" s="53">
        <v>39113</v>
      </c>
      <c r="B82" t="s">
        <v>182</v>
      </c>
      <c r="C82" t="s">
        <v>393</v>
      </c>
      <c r="D82" t="s">
        <v>184</v>
      </c>
      <c r="E82" s="54">
        <v>37622</v>
      </c>
      <c r="F82" t="s">
        <v>395</v>
      </c>
      <c r="H82" s="52">
        <v>-299.87</v>
      </c>
      <c r="J82" t="s">
        <v>373</v>
      </c>
      <c r="K82">
        <v>131807</v>
      </c>
    </row>
    <row r="83" spans="1:11" x14ac:dyDescent="0.2">
      <c r="A83" s="53">
        <v>39113</v>
      </c>
      <c r="B83" t="s">
        <v>182</v>
      </c>
      <c r="C83" t="s">
        <v>393</v>
      </c>
      <c r="D83" t="s">
        <v>184</v>
      </c>
      <c r="E83" s="54">
        <v>37622</v>
      </c>
      <c r="F83" t="s">
        <v>396</v>
      </c>
      <c r="H83" s="52">
        <v>-969.61</v>
      </c>
      <c r="J83" t="s">
        <v>373</v>
      </c>
      <c r="K83">
        <v>131808</v>
      </c>
    </row>
    <row r="84" spans="1:11" x14ac:dyDescent="0.2">
      <c r="A84" s="53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2">
        <v>1000</v>
      </c>
      <c r="J84" t="s">
        <v>373</v>
      </c>
      <c r="K84">
        <v>138052</v>
      </c>
    </row>
    <row r="85" spans="1:11" x14ac:dyDescent="0.2">
      <c r="A85" s="53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2">
        <v>48</v>
      </c>
      <c r="J85" t="s">
        <v>402</v>
      </c>
      <c r="K85">
        <v>138358</v>
      </c>
    </row>
    <row r="86" spans="1:11" x14ac:dyDescent="0.2">
      <c r="A86" s="53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2">
        <v>141.27000000000001</v>
      </c>
      <c r="J86" t="s">
        <v>402</v>
      </c>
      <c r="K86">
        <v>140176</v>
      </c>
    </row>
    <row r="87" spans="1:11" x14ac:dyDescent="0.2">
      <c r="A87" s="53">
        <v>39148</v>
      </c>
      <c r="B87" t="s">
        <v>210</v>
      </c>
      <c r="C87" t="s">
        <v>406</v>
      </c>
      <c r="D87" t="s">
        <v>184</v>
      </c>
      <c r="F87" t="s">
        <v>407</v>
      </c>
      <c r="H87" s="52">
        <v>30000</v>
      </c>
      <c r="I87" t="s">
        <v>214</v>
      </c>
      <c r="J87" t="s">
        <v>408</v>
      </c>
      <c r="K87">
        <v>136531</v>
      </c>
    </row>
    <row r="88" spans="1:11" x14ac:dyDescent="0.2">
      <c r="A88" s="53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2">
        <v>-365.49</v>
      </c>
      <c r="I88" t="s">
        <v>214</v>
      </c>
      <c r="J88" t="s">
        <v>408</v>
      </c>
      <c r="K88">
        <v>139867</v>
      </c>
    </row>
    <row r="89" spans="1:11" x14ac:dyDescent="0.2">
      <c r="A89" s="53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2">
        <v>6000</v>
      </c>
      <c r="I89" t="s">
        <v>380</v>
      </c>
      <c r="J89" t="s">
        <v>373</v>
      </c>
      <c r="K89">
        <v>141234</v>
      </c>
    </row>
    <row r="90" spans="1:11" x14ac:dyDescent="0.2">
      <c r="A90" s="53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2">
        <v>6000</v>
      </c>
      <c r="I90" t="s">
        <v>376</v>
      </c>
      <c r="J90" t="s">
        <v>373</v>
      </c>
      <c r="K90">
        <v>141236</v>
      </c>
    </row>
    <row r="91" spans="1:11" x14ac:dyDescent="0.2">
      <c r="A91" s="53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2">
        <v>1483.33</v>
      </c>
      <c r="I91" t="s">
        <v>263</v>
      </c>
      <c r="J91" t="s">
        <v>373</v>
      </c>
      <c r="K91">
        <v>141238</v>
      </c>
    </row>
    <row r="92" spans="1:11" x14ac:dyDescent="0.2">
      <c r="A92" s="53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2">
        <v>157.63</v>
      </c>
      <c r="I92" t="s">
        <v>421</v>
      </c>
      <c r="J92" t="s">
        <v>373</v>
      </c>
      <c r="K92">
        <v>141240</v>
      </c>
    </row>
    <row r="93" spans="1:11" x14ac:dyDescent="0.2">
      <c r="A93" s="53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2">
        <v>18.27</v>
      </c>
      <c r="I93" t="s">
        <v>421</v>
      </c>
      <c r="J93" t="s">
        <v>373</v>
      </c>
      <c r="K93">
        <v>141242</v>
      </c>
    </row>
    <row r="94" spans="1:11" x14ac:dyDescent="0.2">
      <c r="A94" s="53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2">
        <v>-57735</v>
      </c>
      <c r="I94" t="s">
        <v>218</v>
      </c>
      <c r="J94" t="s">
        <v>373</v>
      </c>
      <c r="K94">
        <v>141244</v>
      </c>
    </row>
    <row r="95" spans="1:11" x14ac:dyDescent="0.2">
      <c r="A95" s="53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2">
        <v>-1.54</v>
      </c>
      <c r="I95" t="s">
        <v>421</v>
      </c>
      <c r="J95" t="s">
        <v>373</v>
      </c>
      <c r="K95">
        <v>141246</v>
      </c>
    </row>
    <row r="96" spans="1:11" x14ac:dyDescent="0.2">
      <c r="A96" s="53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2">
        <v>114.26</v>
      </c>
      <c r="J96" t="s">
        <v>408</v>
      </c>
      <c r="K96">
        <v>146507</v>
      </c>
    </row>
    <row r="97" spans="1:11" x14ac:dyDescent="0.2">
      <c r="A97" s="53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2">
        <v>53</v>
      </c>
      <c r="J97" t="s">
        <v>402</v>
      </c>
      <c r="K97">
        <v>145284</v>
      </c>
    </row>
    <row r="98" spans="1:11" x14ac:dyDescent="0.2">
      <c r="A98" s="53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2">
        <v>114.26</v>
      </c>
      <c r="J98" t="s">
        <v>402</v>
      </c>
      <c r="K98">
        <v>145914</v>
      </c>
    </row>
    <row r="99" spans="1:11" x14ac:dyDescent="0.2">
      <c r="A99" s="53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2">
        <v>18000</v>
      </c>
      <c r="I99" t="s">
        <v>214</v>
      </c>
      <c r="J99" t="s">
        <v>408</v>
      </c>
      <c r="K99">
        <v>141720</v>
      </c>
    </row>
    <row r="100" spans="1:11" x14ac:dyDescent="0.2">
      <c r="A100" s="53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2">
        <v>-4358</v>
      </c>
      <c r="J100" t="s">
        <v>373</v>
      </c>
      <c r="K100">
        <v>146529</v>
      </c>
    </row>
    <row r="101" spans="1:11" x14ac:dyDescent="0.2">
      <c r="A101" s="53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2">
        <v>-413.69</v>
      </c>
      <c r="J101" t="s">
        <v>373</v>
      </c>
      <c r="K101">
        <v>144911</v>
      </c>
    </row>
    <row r="102" spans="1:11" x14ac:dyDescent="0.2">
      <c r="A102" s="53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2">
        <v>42.4</v>
      </c>
      <c r="J102" t="s">
        <v>408</v>
      </c>
      <c r="K102">
        <v>146003</v>
      </c>
    </row>
    <row r="103" spans="1:11" x14ac:dyDescent="0.2">
      <c r="A103" s="53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2">
        <v>41.8</v>
      </c>
      <c r="J103" t="s">
        <v>408</v>
      </c>
      <c r="K103">
        <v>146037</v>
      </c>
    </row>
    <row r="104" spans="1:11" x14ac:dyDescent="0.2">
      <c r="A104" s="53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2">
        <v>-213.37</v>
      </c>
      <c r="I104" t="s">
        <v>214</v>
      </c>
      <c r="J104" t="s">
        <v>408</v>
      </c>
      <c r="K104">
        <v>146186</v>
      </c>
    </row>
    <row r="105" spans="1:11" x14ac:dyDescent="0.2">
      <c r="A105" s="53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2">
        <v>-111.3</v>
      </c>
      <c r="I105" t="s">
        <v>214</v>
      </c>
      <c r="J105" t="s">
        <v>408</v>
      </c>
      <c r="K105">
        <v>146188</v>
      </c>
    </row>
    <row r="106" spans="1:11" x14ac:dyDescent="0.2">
      <c r="A106" s="53">
        <v>39206</v>
      </c>
      <c r="B106" t="s">
        <v>454</v>
      </c>
      <c r="C106" t="s">
        <v>455</v>
      </c>
      <c r="D106" t="s">
        <v>184</v>
      </c>
      <c r="F106" t="s">
        <v>456</v>
      </c>
      <c r="H106" s="52">
        <v>-114.26</v>
      </c>
      <c r="J106" t="s">
        <v>408</v>
      </c>
      <c r="K106">
        <v>146490</v>
      </c>
    </row>
    <row r="107" spans="1:11" x14ac:dyDescent="0.2">
      <c r="A107" s="53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2">
        <v>1018.44</v>
      </c>
      <c r="J107" t="s">
        <v>402</v>
      </c>
      <c r="K107">
        <v>149624</v>
      </c>
    </row>
    <row r="108" spans="1:11" x14ac:dyDescent="0.2">
      <c r="A108" s="53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2">
        <v>-16.23</v>
      </c>
      <c r="I108" t="s">
        <v>421</v>
      </c>
      <c r="J108" t="s">
        <v>373</v>
      </c>
      <c r="K108">
        <v>158826</v>
      </c>
    </row>
    <row r="109" spans="1:11" x14ac:dyDescent="0.2">
      <c r="A109" s="53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2">
        <v>16.23</v>
      </c>
      <c r="I109" t="s">
        <v>421</v>
      </c>
      <c r="J109" t="s">
        <v>373</v>
      </c>
      <c r="K109">
        <v>158828</v>
      </c>
    </row>
    <row r="110" spans="1:11" x14ac:dyDescent="0.2">
      <c r="A110" s="53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2">
        <v>16.23</v>
      </c>
      <c r="I110" t="s">
        <v>421</v>
      </c>
      <c r="J110" t="s">
        <v>373</v>
      </c>
      <c r="K110">
        <v>158830</v>
      </c>
    </row>
    <row r="111" spans="1:11" x14ac:dyDescent="0.2">
      <c r="A111" s="53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2">
        <v>-1302.82</v>
      </c>
      <c r="I111" t="s">
        <v>214</v>
      </c>
      <c r="J111" t="s">
        <v>408</v>
      </c>
      <c r="K111">
        <v>160110</v>
      </c>
    </row>
    <row r="112" spans="1:11" x14ac:dyDescent="0.2">
      <c r="A112" s="53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2">
        <v>-1302.82</v>
      </c>
      <c r="I112" t="s">
        <v>214</v>
      </c>
      <c r="J112" t="s">
        <v>408</v>
      </c>
      <c r="K112">
        <v>163569</v>
      </c>
    </row>
    <row r="113" spans="1:11" x14ac:dyDescent="0.2">
      <c r="A113" s="53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2">
        <v>383.78</v>
      </c>
      <c r="J113" t="s">
        <v>408</v>
      </c>
      <c r="K113">
        <v>170146</v>
      </c>
    </row>
    <row r="114" spans="1:11" x14ac:dyDescent="0.2">
      <c r="A114" s="53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2">
        <v>-390</v>
      </c>
      <c r="J114" t="s">
        <v>373</v>
      </c>
      <c r="K114">
        <v>166838</v>
      </c>
    </row>
    <row r="115" spans="1:11" x14ac:dyDescent="0.2">
      <c r="A115" s="53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2">
        <v>-1018.44</v>
      </c>
      <c r="J115" t="s">
        <v>373</v>
      </c>
      <c r="K115">
        <v>166842</v>
      </c>
    </row>
    <row r="116" spans="1:11" x14ac:dyDescent="0.2">
      <c r="A116" s="53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2">
        <v>-861</v>
      </c>
      <c r="J116" t="s">
        <v>373</v>
      </c>
      <c r="K116">
        <v>166843</v>
      </c>
    </row>
    <row r="117" spans="1:11" x14ac:dyDescent="0.2">
      <c r="A117" s="53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2">
        <v>230.18</v>
      </c>
      <c r="J117" t="s">
        <v>373</v>
      </c>
      <c r="K117">
        <v>166845</v>
      </c>
    </row>
    <row r="118" spans="1:11" x14ac:dyDescent="0.2">
      <c r="A118" s="53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2">
        <v>-390</v>
      </c>
      <c r="J118" t="s">
        <v>373</v>
      </c>
      <c r="K118">
        <v>167162</v>
      </c>
    </row>
    <row r="119" spans="1:11" x14ac:dyDescent="0.2">
      <c r="A119" s="53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2">
        <v>390</v>
      </c>
      <c r="I119" t="s">
        <v>486</v>
      </c>
      <c r="J119" t="s">
        <v>373</v>
      </c>
      <c r="K119">
        <v>167185</v>
      </c>
    </row>
    <row r="120" spans="1:11" x14ac:dyDescent="0.2">
      <c r="A120" s="53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2">
        <v>8807.26</v>
      </c>
      <c r="I120" t="s">
        <v>214</v>
      </c>
      <c r="J120" t="s">
        <v>408</v>
      </c>
      <c r="K120">
        <v>167517</v>
      </c>
    </row>
    <row r="121" spans="1:11" x14ac:dyDescent="0.2">
      <c r="A121" s="53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2">
        <v>-270.57</v>
      </c>
      <c r="J121" t="s">
        <v>373</v>
      </c>
      <c r="K121">
        <v>172556</v>
      </c>
    </row>
    <row r="122" spans="1:11" x14ac:dyDescent="0.2">
      <c r="A122" s="53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2">
        <v>-264.06</v>
      </c>
      <c r="J122" t="s">
        <v>373</v>
      </c>
      <c r="K122">
        <v>172558</v>
      </c>
    </row>
    <row r="123" spans="1:11" x14ac:dyDescent="0.2">
      <c r="A123" s="53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2">
        <v>13.68</v>
      </c>
      <c r="J123" t="s">
        <v>408</v>
      </c>
      <c r="K123">
        <v>171550</v>
      </c>
    </row>
    <row r="124" spans="1:11" x14ac:dyDescent="0.2">
      <c r="A124" s="53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2">
        <v>-270.57</v>
      </c>
      <c r="J124" t="s">
        <v>373</v>
      </c>
      <c r="K124">
        <v>159312</v>
      </c>
    </row>
    <row r="125" spans="1:11" x14ac:dyDescent="0.2">
      <c r="A125" s="53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2">
        <v>1500</v>
      </c>
      <c r="I125" t="s">
        <v>503</v>
      </c>
      <c r="J125" t="s">
        <v>373</v>
      </c>
      <c r="K125">
        <v>177152</v>
      </c>
    </row>
    <row r="126" spans="1:11" x14ac:dyDescent="0.2">
      <c r="A126" s="53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2">
        <v>270.57</v>
      </c>
      <c r="J126" t="s">
        <v>373</v>
      </c>
      <c r="K126">
        <v>187832</v>
      </c>
    </row>
    <row r="127" spans="1:11" x14ac:dyDescent="0.2">
      <c r="A127" s="53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2">
        <v>-888.56</v>
      </c>
      <c r="J127" t="s">
        <v>373</v>
      </c>
      <c r="K127">
        <v>187834</v>
      </c>
    </row>
    <row r="128" spans="1:11" x14ac:dyDescent="0.2">
      <c r="A128" s="53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2">
        <v>-4596</v>
      </c>
      <c r="I128" t="s">
        <v>218</v>
      </c>
      <c r="J128" t="s">
        <v>373</v>
      </c>
      <c r="K128">
        <v>188233</v>
      </c>
    </row>
    <row r="129" spans="1:11" x14ac:dyDescent="0.2">
      <c r="A129" s="53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2">
        <v>500</v>
      </c>
      <c r="I129" t="s">
        <v>380</v>
      </c>
      <c r="J129" t="s">
        <v>373</v>
      </c>
      <c r="K129">
        <v>189684</v>
      </c>
    </row>
    <row r="130" spans="1:11" x14ac:dyDescent="0.2">
      <c r="A130" s="53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2">
        <v>865.39</v>
      </c>
      <c r="J130" t="s">
        <v>408</v>
      </c>
      <c r="K130">
        <v>191435</v>
      </c>
    </row>
    <row r="131" spans="1:11" x14ac:dyDescent="0.2">
      <c r="A131" s="53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2">
        <v>500</v>
      </c>
      <c r="I131" t="s">
        <v>380</v>
      </c>
      <c r="J131" t="s">
        <v>373</v>
      </c>
      <c r="K131">
        <v>189686</v>
      </c>
    </row>
    <row r="132" spans="1:11" x14ac:dyDescent="0.2">
      <c r="A132" s="53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2">
        <v>-4596</v>
      </c>
      <c r="I132" t="s">
        <v>218</v>
      </c>
      <c r="J132" t="s">
        <v>524</v>
      </c>
      <c r="K132">
        <v>195834</v>
      </c>
    </row>
    <row r="133" spans="1:11" x14ac:dyDescent="0.2">
      <c r="A133" s="53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2">
        <v>912.96</v>
      </c>
      <c r="J133" t="s">
        <v>408</v>
      </c>
      <c r="K133">
        <v>201574</v>
      </c>
    </row>
    <row r="134" spans="1:11" x14ac:dyDescent="0.2">
      <c r="A134" s="53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2">
        <v>500</v>
      </c>
      <c r="I134" t="s">
        <v>380</v>
      </c>
      <c r="J134" t="s">
        <v>373</v>
      </c>
      <c r="K134">
        <v>189688</v>
      </c>
    </row>
    <row r="135" spans="1:11" x14ac:dyDescent="0.2">
      <c r="A135" s="53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2">
        <v>-4596</v>
      </c>
      <c r="I135" t="s">
        <v>218</v>
      </c>
      <c r="J135" t="s">
        <v>373</v>
      </c>
      <c r="K135">
        <v>199450</v>
      </c>
    </row>
    <row r="136" spans="1:11" x14ac:dyDescent="0.2">
      <c r="A136" s="53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2">
        <v>1454.91</v>
      </c>
      <c r="J136" t="s">
        <v>408</v>
      </c>
      <c r="K136">
        <v>201571</v>
      </c>
    </row>
    <row r="137" spans="1:11" x14ac:dyDescent="0.2">
      <c r="A137" s="53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2">
        <v>508.4</v>
      </c>
      <c r="I137" t="s">
        <v>214</v>
      </c>
      <c r="J137" t="s">
        <v>524</v>
      </c>
      <c r="K137">
        <v>203892</v>
      </c>
    </row>
    <row r="138" spans="1:11" x14ac:dyDescent="0.2">
      <c r="A138" s="53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2">
        <v>-72.97</v>
      </c>
      <c r="J138" t="s">
        <v>373</v>
      </c>
      <c r="K138">
        <v>204175</v>
      </c>
    </row>
    <row r="139" spans="1:11" x14ac:dyDescent="0.2">
      <c r="A139" s="53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2">
        <v>10</v>
      </c>
      <c r="J139" t="s">
        <v>373</v>
      </c>
      <c r="K139">
        <v>204176</v>
      </c>
    </row>
    <row r="140" spans="1:11" x14ac:dyDescent="0.2">
      <c r="A140" s="53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2">
        <v>13788</v>
      </c>
      <c r="J140" t="s">
        <v>373</v>
      </c>
      <c r="K140">
        <v>204203</v>
      </c>
    </row>
    <row r="141" spans="1:11" x14ac:dyDescent="0.2">
      <c r="A141" s="53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2">
        <v>-55149</v>
      </c>
      <c r="J141" t="s">
        <v>373</v>
      </c>
      <c r="K141">
        <v>204204</v>
      </c>
    </row>
    <row r="142" spans="1:11" x14ac:dyDescent="0.2">
      <c r="A142" s="53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2">
        <v>888.56</v>
      </c>
      <c r="J142" t="s">
        <v>373</v>
      </c>
      <c r="K142">
        <v>204229</v>
      </c>
    </row>
    <row r="143" spans="1:11" x14ac:dyDescent="0.2">
      <c r="A143" s="53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2">
        <v>-821.53</v>
      </c>
      <c r="J143" t="s">
        <v>373</v>
      </c>
      <c r="K143">
        <v>204230</v>
      </c>
    </row>
    <row r="144" spans="1:11" x14ac:dyDescent="0.2">
      <c r="A144" s="53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2">
        <v>-383.78</v>
      </c>
      <c r="J144" t="s">
        <v>373</v>
      </c>
      <c r="K144">
        <v>204232</v>
      </c>
    </row>
    <row r="145" spans="1:11" x14ac:dyDescent="0.2">
      <c r="A145" s="53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2">
        <v>-865.39</v>
      </c>
      <c r="I145" t="s">
        <v>350</v>
      </c>
      <c r="J145" t="s">
        <v>373</v>
      </c>
      <c r="K145">
        <v>204224</v>
      </c>
    </row>
    <row r="146" spans="1:11" x14ac:dyDescent="0.2">
      <c r="A146" s="53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2">
        <v>-912.96</v>
      </c>
      <c r="I146" t="s">
        <v>350</v>
      </c>
      <c r="J146" t="s">
        <v>373</v>
      </c>
      <c r="K146">
        <v>204226</v>
      </c>
    </row>
    <row r="147" spans="1:11" x14ac:dyDescent="0.2">
      <c r="A147" s="53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2">
        <v>-1454.91</v>
      </c>
      <c r="I147" t="s">
        <v>350</v>
      </c>
      <c r="J147" t="s">
        <v>373</v>
      </c>
      <c r="K147">
        <v>204228</v>
      </c>
    </row>
    <row r="148" spans="1:11" x14ac:dyDescent="0.2">
      <c r="A148" s="53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2">
        <v>52775.48</v>
      </c>
      <c r="I148" t="s">
        <v>214</v>
      </c>
      <c r="J148" t="s">
        <v>408</v>
      </c>
      <c r="K148">
        <v>207989</v>
      </c>
    </row>
    <row r="149" spans="1:11" x14ac:dyDescent="0.2">
      <c r="A149" s="53"/>
    </row>
    <row r="150" spans="1:11" x14ac:dyDescent="0.2">
      <c r="A150" s="53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5">
        <v>304.32</v>
      </c>
      <c r="J150" t="s">
        <v>408</v>
      </c>
      <c r="K150">
        <v>208276</v>
      </c>
    </row>
    <row r="151" spans="1:11" x14ac:dyDescent="0.2">
      <c r="A151" s="53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2">
        <v>-1300</v>
      </c>
      <c r="J151" t="s">
        <v>408</v>
      </c>
      <c r="K151">
        <v>237561</v>
      </c>
    </row>
    <row r="152" spans="1:11" x14ac:dyDescent="0.2">
      <c r="A152" s="53">
        <v>39752</v>
      </c>
      <c r="B152" t="s">
        <v>182</v>
      </c>
      <c r="C152" t="s">
        <v>567</v>
      </c>
      <c r="D152" t="s">
        <v>184</v>
      </c>
      <c r="E152" s="54">
        <v>41183</v>
      </c>
      <c r="F152" t="s">
        <v>568</v>
      </c>
      <c r="G152" t="s">
        <v>563</v>
      </c>
      <c r="H152" s="52">
        <v>1300</v>
      </c>
      <c r="J152" t="s">
        <v>408</v>
      </c>
      <c r="K152">
        <v>239007</v>
      </c>
    </row>
    <row r="153" spans="1:11" x14ac:dyDescent="0.2">
      <c r="A153" s="53">
        <v>39813</v>
      </c>
      <c r="B153" t="s">
        <v>182</v>
      </c>
      <c r="C153" t="s">
        <v>569</v>
      </c>
      <c r="D153" t="s">
        <v>184</v>
      </c>
      <c r="E153" s="54">
        <v>13485</v>
      </c>
      <c r="F153" t="s">
        <v>570</v>
      </c>
      <c r="G153" t="s">
        <v>563</v>
      </c>
      <c r="H153" s="52">
        <v>-2000</v>
      </c>
      <c r="J153" t="s">
        <v>373</v>
      </c>
      <c r="K153">
        <v>251517</v>
      </c>
    </row>
    <row r="154" spans="1:11" x14ac:dyDescent="0.2">
      <c r="A154" s="53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2">
        <v>2000</v>
      </c>
      <c r="J154" t="s">
        <v>373</v>
      </c>
      <c r="K154">
        <v>251702</v>
      </c>
    </row>
    <row r="155" spans="1:11" x14ac:dyDescent="0.2">
      <c r="A155" s="53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2">
        <v>115.19</v>
      </c>
      <c r="J155" t="s">
        <v>575</v>
      </c>
      <c r="K155">
        <v>233785</v>
      </c>
    </row>
    <row r="156" spans="1:11" x14ac:dyDescent="0.2">
      <c r="A156" s="53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2">
        <v>-115.19</v>
      </c>
      <c r="J156" t="s">
        <v>408</v>
      </c>
      <c r="K156">
        <v>241663</v>
      </c>
    </row>
    <row r="157" spans="1:11" x14ac:dyDescent="0.2">
      <c r="A157" s="53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2">
        <v>437.24</v>
      </c>
      <c r="J157" t="s">
        <v>408</v>
      </c>
      <c r="K157">
        <v>214329</v>
      </c>
    </row>
    <row r="158" spans="1:11" x14ac:dyDescent="0.2">
      <c r="A158" s="53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2">
        <v>815.14</v>
      </c>
      <c r="J158" t="s">
        <v>408</v>
      </c>
      <c r="K158">
        <v>214636</v>
      </c>
    </row>
    <row r="159" spans="1:11" x14ac:dyDescent="0.2">
      <c r="A159" s="53">
        <v>39752</v>
      </c>
      <c r="B159" t="s">
        <v>182</v>
      </c>
      <c r="C159" t="s">
        <v>584</v>
      </c>
      <c r="D159" t="s">
        <v>184</v>
      </c>
      <c r="E159" s="54">
        <v>41183</v>
      </c>
      <c r="F159" t="s">
        <v>585</v>
      </c>
      <c r="G159" t="s">
        <v>563</v>
      </c>
      <c r="H159" s="52">
        <v>-437.24</v>
      </c>
      <c r="J159" t="s">
        <v>408</v>
      </c>
      <c r="K159">
        <v>239001</v>
      </c>
    </row>
    <row r="160" spans="1:11" x14ac:dyDescent="0.2">
      <c r="A160" s="53">
        <v>39752</v>
      </c>
      <c r="B160" t="s">
        <v>182</v>
      </c>
      <c r="C160" t="s">
        <v>586</v>
      </c>
      <c r="D160" t="s">
        <v>184</v>
      </c>
      <c r="E160" s="54">
        <v>41183</v>
      </c>
      <c r="F160" t="s">
        <v>587</v>
      </c>
      <c r="G160" t="s">
        <v>563</v>
      </c>
      <c r="H160" s="52">
        <v>-815.14</v>
      </c>
      <c r="J160" t="s">
        <v>408</v>
      </c>
      <c r="K160">
        <v>239005</v>
      </c>
    </row>
    <row r="161" spans="1:11" x14ac:dyDescent="0.2">
      <c r="A161" s="53">
        <v>39752</v>
      </c>
      <c r="B161" t="s">
        <v>182</v>
      </c>
      <c r="C161" t="s">
        <v>588</v>
      </c>
      <c r="D161" t="s">
        <v>184</v>
      </c>
      <c r="E161" s="54">
        <v>41183</v>
      </c>
      <c r="F161" t="s">
        <v>589</v>
      </c>
      <c r="G161" t="s">
        <v>563</v>
      </c>
      <c r="H161" s="55">
        <v>-304.32</v>
      </c>
      <c r="J161" t="s">
        <v>408</v>
      </c>
      <c r="K161">
        <v>239003</v>
      </c>
    </row>
    <row r="162" spans="1:11" ht="18" x14ac:dyDescent="0.25">
      <c r="A162" s="56" t="s">
        <v>120</v>
      </c>
      <c r="E162" s="54"/>
      <c r="H162" s="55"/>
    </row>
    <row r="163" spans="1:11" x14ac:dyDescent="0.2">
      <c r="A163" s="53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7">
        <v>-40</v>
      </c>
      <c r="I163" t="s">
        <v>214</v>
      </c>
      <c r="J163" t="s">
        <v>408</v>
      </c>
      <c r="K163">
        <v>212689</v>
      </c>
    </row>
    <row r="164" spans="1:11" x14ac:dyDescent="0.2">
      <c r="A164" s="53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7">
        <v>-168.05</v>
      </c>
      <c r="I164" t="s">
        <v>596</v>
      </c>
      <c r="J164" t="s">
        <v>373</v>
      </c>
      <c r="K164">
        <v>219219</v>
      </c>
    </row>
    <row r="165" spans="1:11" x14ac:dyDescent="0.2">
      <c r="A165" s="53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7">
        <v>-30</v>
      </c>
      <c r="I165" t="s">
        <v>214</v>
      </c>
      <c r="J165" t="s">
        <v>408</v>
      </c>
      <c r="K165">
        <v>220509</v>
      </c>
    </row>
    <row r="166" spans="1:11" x14ac:dyDescent="0.2">
      <c r="A166" s="53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7">
        <v>1.5</v>
      </c>
      <c r="I166" t="s">
        <v>601</v>
      </c>
      <c r="J166" t="s">
        <v>408</v>
      </c>
      <c r="K166">
        <v>220511</v>
      </c>
    </row>
    <row r="167" spans="1:11" x14ac:dyDescent="0.2">
      <c r="A167" s="53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7">
        <v>-1300</v>
      </c>
      <c r="I167" t="s">
        <v>604</v>
      </c>
      <c r="J167" t="s">
        <v>373</v>
      </c>
      <c r="K167">
        <v>230072</v>
      </c>
    </row>
    <row r="168" spans="1:11" x14ac:dyDescent="0.2">
      <c r="A168" s="53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7">
        <v>256.2</v>
      </c>
      <c r="I168">
        <v>4240</v>
      </c>
      <c r="J168" t="s">
        <v>373</v>
      </c>
      <c r="K168">
        <v>233431</v>
      </c>
    </row>
    <row r="169" spans="1:11" x14ac:dyDescent="0.2">
      <c r="A169" s="53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7">
        <v>372.95</v>
      </c>
      <c r="I169">
        <v>4240</v>
      </c>
      <c r="J169" t="s">
        <v>373</v>
      </c>
      <c r="K169">
        <v>233433</v>
      </c>
    </row>
    <row r="170" spans="1:11" x14ac:dyDescent="0.2">
      <c r="A170" s="53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7">
        <v>-250.98</v>
      </c>
      <c r="J170" t="s">
        <v>408</v>
      </c>
      <c r="K170">
        <v>237559</v>
      </c>
    </row>
    <row r="171" spans="1:11" x14ac:dyDescent="0.2">
      <c r="A171" s="53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7">
        <v>50.23</v>
      </c>
      <c r="J171" t="s">
        <v>614</v>
      </c>
      <c r="K171">
        <v>241712</v>
      </c>
    </row>
    <row r="172" spans="1:11" x14ac:dyDescent="0.2">
      <c r="A172" s="53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7">
        <v>10</v>
      </c>
      <c r="J172" t="s">
        <v>373</v>
      </c>
      <c r="K172">
        <v>245005</v>
      </c>
    </row>
    <row r="173" spans="1:11" x14ac:dyDescent="0.2">
      <c r="A173" s="53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7">
        <v>100</v>
      </c>
      <c r="J173" t="s">
        <v>614</v>
      </c>
      <c r="K173">
        <v>246863</v>
      </c>
    </row>
    <row r="174" spans="1:11" x14ac:dyDescent="0.2">
      <c r="A174" s="53">
        <v>39813</v>
      </c>
      <c r="B174" t="s">
        <v>182</v>
      </c>
      <c r="C174" t="s">
        <v>569</v>
      </c>
      <c r="D174" t="s">
        <v>184</v>
      </c>
      <c r="E174" s="54">
        <v>13485</v>
      </c>
      <c r="F174" t="s">
        <v>620</v>
      </c>
      <c r="H174" s="57">
        <v>1000</v>
      </c>
      <c r="J174" t="s">
        <v>373</v>
      </c>
      <c r="K174">
        <v>251515</v>
      </c>
    </row>
    <row r="175" spans="1:11" x14ac:dyDescent="0.2">
      <c r="A175" s="53">
        <v>39813</v>
      </c>
      <c r="B175" t="s">
        <v>182</v>
      </c>
      <c r="C175" t="s">
        <v>569</v>
      </c>
      <c r="D175" t="s">
        <v>184</v>
      </c>
      <c r="E175" s="54">
        <v>13485</v>
      </c>
      <c r="F175" t="s">
        <v>621</v>
      </c>
      <c r="H175" s="57">
        <v>1000</v>
      </c>
      <c r="J175" t="s">
        <v>373</v>
      </c>
      <c r="K175">
        <v>251516</v>
      </c>
    </row>
    <row r="176" spans="1:11" x14ac:dyDescent="0.2">
      <c r="A176" s="53">
        <v>39813</v>
      </c>
      <c r="B176" t="s">
        <v>182</v>
      </c>
      <c r="C176" t="s">
        <v>569</v>
      </c>
      <c r="D176" t="s">
        <v>184</v>
      </c>
      <c r="E176" s="54">
        <v>13485</v>
      </c>
      <c r="F176" t="s">
        <v>622</v>
      </c>
      <c r="H176" s="57">
        <v>1500</v>
      </c>
      <c r="J176" t="s">
        <v>373</v>
      </c>
      <c r="K176">
        <v>251518</v>
      </c>
    </row>
    <row r="177" spans="1:11" x14ac:dyDescent="0.2">
      <c r="A177" s="53">
        <v>39813</v>
      </c>
      <c r="B177" t="s">
        <v>182</v>
      </c>
      <c r="C177" t="s">
        <v>569</v>
      </c>
      <c r="D177" t="s">
        <v>184</v>
      </c>
      <c r="E177" s="54">
        <v>13485</v>
      </c>
      <c r="F177" t="s">
        <v>623</v>
      </c>
      <c r="H177" s="57">
        <v>-483.27</v>
      </c>
      <c r="J177" t="s">
        <v>373</v>
      </c>
      <c r="K177">
        <v>251520</v>
      </c>
    </row>
    <row r="178" spans="1:11" x14ac:dyDescent="0.2">
      <c r="A178" s="53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7">
        <v>16</v>
      </c>
      <c r="J178" t="s">
        <v>575</v>
      </c>
      <c r="K178">
        <v>221385</v>
      </c>
    </row>
    <row r="179" spans="1:11" x14ac:dyDescent="0.2">
      <c r="A179" s="53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7">
        <v>30</v>
      </c>
      <c r="J179" t="s">
        <v>575</v>
      </c>
      <c r="K179">
        <v>222068</v>
      </c>
    </row>
    <row r="180" spans="1:11" x14ac:dyDescent="0.2">
      <c r="A180" s="53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7">
        <v>72</v>
      </c>
      <c r="J180" t="s">
        <v>575</v>
      </c>
      <c r="K180">
        <v>233815</v>
      </c>
    </row>
    <row r="181" spans="1:11" x14ac:dyDescent="0.2">
      <c r="A181" s="53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7">
        <v>1991.39</v>
      </c>
      <c r="I181" t="s">
        <v>214</v>
      </c>
      <c r="J181" t="s">
        <v>614</v>
      </c>
      <c r="K181">
        <v>241223</v>
      </c>
    </row>
    <row r="182" spans="1:11" x14ac:dyDescent="0.2">
      <c r="A182" s="53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7">
        <v>500</v>
      </c>
      <c r="I182" t="s">
        <v>380</v>
      </c>
      <c r="J182" t="s">
        <v>373</v>
      </c>
      <c r="K182">
        <v>205329</v>
      </c>
    </row>
    <row r="183" spans="1:11" x14ac:dyDescent="0.2">
      <c r="A183" s="53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7">
        <v>500</v>
      </c>
      <c r="I183" t="s">
        <v>380</v>
      </c>
      <c r="J183" t="s">
        <v>373</v>
      </c>
      <c r="K183">
        <v>205333</v>
      </c>
    </row>
    <row r="184" spans="1:11" x14ac:dyDescent="0.2">
      <c r="A184" s="53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7">
        <v>500</v>
      </c>
      <c r="I184" t="s">
        <v>380</v>
      </c>
      <c r="J184" t="s">
        <v>373</v>
      </c>
      <c r="K184">
        <v>205331</v>
      </c>
    </row>
    <row r="185" spans="1:11" x14ac:dyDescent="0.2">
      <c r="A185" s="53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7">
        <v>-253.12</v>
      </c>
      <c r="J185" t="s">
        <v>373</v>
      </c>
      <c r="K185">
        <v>205106</v>
      </c>
    </row>
    <row r="186" spans="1:11" x14ac:dyDescent="0.2">
      <c r="A186" s="53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7">
        <v>-4062.4</v>
      </c>
      <c r="J186" t="s">
        <v>373</v>
      </c>
      <c r="K186">
        <v>254952</v>
      </c>
    </row>
    <row r="187" spans="1:11" x14ac:dyDescent="0.2">
      <c r="A187" s="53"/>
      <c r="G187" s="58" t="s">
        <v>646</v>
      </c>
      <c r="H187" s="59">
        <f>SUM(H163:H186)</f>
        <v>1312.4500000000003</v>
      </c>
    </row>
    <row r="188" spans="1:11" x14ac:dyDescent="0.2">
      <c r="A188" s="53">
        <v>39819</v>
      </c>
      <c r="B188" t="s">
        <v>182</v>
      </c>
      <c r="C188" t="s">
        <v>647</v>
      </c>
      <c r="D188" t="s">
        <v>184</v>
      </c>
      <c r="E188" s="54">
        <v>40544</v>
      </c>
      <c r="F188" t="s">
        <v>648</v>
      </c>
      <c r="H188" s="52">
        <v>-57600</v>
      </c>
      <c r="I188" t="s">
        <v>649</v>
      </c>
      <c r="J188" t="s">
        <v>373</v>
      </c>
      <c r="K188">
        <v>248718</v>
      </c>
    </row>
    <row r="189" spans="1:11" x14ac:dyDescent="0.2">
      <c r="A189" s="53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2">
        <v>6</v>
      </c>
      <c r="J189" t="s">
        <v>614</v>
      </c>
      <c r="K189">
        <v>252706</v>
      </c>
    </row>
    <row r="190" spans="1:11" x14ac:dyDescent="0.2">
      <c r="A190" s="53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2">
        <v>1197.7</v>
      </c>
      <c r="I190" t="s">
        <v>214</v>
      </c>
      <c r="J190" t="s">
        <v>614</v>
      </c>
      <c r="K190">
        <v>253803</v>
      </c>
    </row>
    <row r="191" spans="1:11" x14ac:dyDescent="0.2">
      <c r="A191" s="53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2">
        <v>3000</v>
      </c>
      <c r="I191" t="s">
        <v>658</v>
      </c>
      <c r="J191" t="s">
        <v>373</v>
      </c>
      <c r="K191">
        <v>262237</v>
      </c>
    </row>
    <row r="193" spans="1:11" x14ac:dyDescent="0.2">
      <c r="F193" t="s">
        <v>659</v>
      </c>
      <c r="H193" s="52">
        <v>2174.35</v>
      </c>
    </row>
    <row r="194" spans="1:11" x14ac:dyDescent="0.2">
      <c r="G194" t="s">
        <v>660</v>
      </c>
      <c r="H194" s="59">
        <f>SUM(H187:H193)</f>
        <v>-49909.500000000007</v>
      </c>
    </row>
    <row r="195" spans="1:11" ht="18" x14ac:dyDescent="0.25">
      <c r="A195" s="56" t="s">
        <v>661</v>
      </c>
    </row>
    <row r="196" spans="1:11" x14ac:dyDescent="0.2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">
      <c r="A197" s="53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60">
        <v>-1186.6500000000001</v>
      </c>
      <c r="J197" t="s">
        <v>373</v>
      </c>
      <c r="K197">
        <v>5</v>
      </c>
    </row>
    <row r="198" spans="1:11" x14ac:dyDescent="0.2">
      <c r="A198" s="53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60">
        <v>53962.13</v>
      </c>
      <c r="J198" t="s">
        <v>373</v>
      </c>
      <c r="K198">
        <v>212</v>
      </c>
    </row>
    <row r="199" spans="1:11" x14ac:dyDescent="0.2">
      <c r="A199" s="53">
        <v>39574</v>
      </c>
      <c r="B199" t="s">
        <v>210</v>
      </c>
      <c r="C199" t="s">
        <v>670</v>
      </c>
      <c r="D199" t="s">
        <v>664</v>
      </c>
      <c r="F199" t="s">
        <v>671</v>
      </c>
      <c r="H199" s="60">
        <v>-52775.48</v>
      </c>
      <c r="I199" t="s">
        <v>214</v>
      </c>
      <c r="J199" t="s">
        <v>373</v>
      </c>
      <c r="K199">
        <v>480</v>
      </c>
    </row>
    <row r="200" spans="1:11" x14ac:dyDescent="0.2">
      <c r="A200" s="53"/>
      <c r="H200"/>
    </row>
    <row r="201" spans="1:11" x14ac:dyDescent="0.2">
      <c r="A201" s="53">
        <v>39578</v>
      </c>
      <c r="B201" t="s">
        <v>182</v>
      </c>
      <c r="C201" t="s">
        <v>672</v>
      </c>
      <c r="D201" t="s">
        <v>664</v>
      </c>
      <c r="F201" t="s">
        <v>673</v>
      </c>
      <c r="H201" s="61">
        <v>3777.4</v>
      </c>
      <c r="J201" t="s">
        <v>373</v>
      </c>
      <c r="K201">
        <v>845</v>
      </c>
    </row>
    <row r="202" spans="1:11" x14ac:dyDescent="0.2">
      <c r="A202" s="53">
        <v>39578</v>
      </c>
      <c r="B202" t="s">
        <v>182</v>
      </c>
      <c r="C202" t="s">
        <v>672</v>
      </c>
      <c r="D202" t="s">
        <v>664</v>
      </c>
      <c r="F202" t="s">
        <v>674</v>
      </c>
      <c r="H202" s="62">
        <v>285</v>
      </c>
      <c r="J202" t="s">
        <v>373</v>
      </c>
      <c r="K202">
        <v>846</v>
      </c>
    </row>
    <row r="203" spans="1:11" x14ac:dyDescent="0.2">
      <c r="A203" s="53">
        <v>39715</v>
      </c>
      <c r="B203" t="s">
        <v>182</v>
      </c>
      <c r="C203" t="s">
        <v>675</v>
      </c>
      <c r="D203" t="s">
        <v>664</v>
      </c>
      <c r="F203" t="s">
        <v>676</v>
      </c>
      <c r="H203" s="61">
        <v>-1500</v>
      </c>
      <c r="J203" t="s">
        <v>677</v>
      </c>
      <c r="K203">
        <v>518</v>
      </c>
    </row>
    <row r="204" spans="1:11" x14ac:dyDescent="0.2">
      <c r="A204" s="53">
        <v>39715</v>
      </c>
      <c r="B204" t="s">
        <v>182</v>
      </c>
      <c r="C204" t="s">
        <v>675</v>
      </c>
      <c r="D204" t="s">
        <v>664</v>
      </c>
      <c r="F204" t="s">
        <v>642</v>
      </c>
      <c r="H204" s="62">
        <v>253.12</v>
      </c>
      <c r="J204" t="s">
        <v>677</v>
      </c>
      <c r="K204">
        <v>519</v>
      </c>
    </row>
    <row r="205" spans="1:11" x14ac:dyDescent="0.2">
      <c r="A205" s="53">
        <v>39715</v>
      </c>
      <c r="B205" t="s">
        <v>182</v>
      </c>
      <c r="C205" t="s">
        <v>675</v>
      </c>
      <c r="D205" t="s">
        <v>664</v>
      </c>
      <c r="F205" t="s">
        <v>678</v>
      </c>
      <c r="H205" s="62">
        <v>-16</v>
      </c>
      <c r="J205" t="s">
        <v>677</v>
      </c>
      <c r="K205">
        <v>520</v>
      </c>
    </row>
    <row r="206" spans="1:11" x14ac:dyDescent="0.2">
      <c r="A206" s="53">
        <v>39715</v>
      </c>
      <c r="B206" t="s">
        <v>182</v>
      </c>
      <c r="C206" t="s">
        <v>675</v>
      </c>
      <c r="D206" t="s">
        <v>664</v>
      </c>
      <c r="F206" t="s">
        <v>679</v>
      </c>
      <c r="H206" s="62">
        <v>-30</v>
      </c>
      <c r="J206" t="s">
        <v>677</v>
      </c>
      <c r="K206">
        <v>521</v>
      </c>
    </row>
    <row r="207" spans="1:11" x14ac:dyDescent="0.2">
      <c r="A207" s="53">
        <v>39772</v>
      </c>
      <c r="B207" t="s">
        <v>182</v>
      </c>
      <c r="C207" t="s">
        <v>680</v>
      </c>
      <c r="D207" t="s">
        <v>664</v>
      </c>
      <c r="F207" t="s">
        <v>681</v>
      </c>
      <c r="H207" s="62">
        <v>-72</v>
      </c>
      <c r="J207" t="s">
        <v>677</v>
      </c>
      <c r="K207">
        <v>522</v>
      </c>
    </row>
    <row r="208" spans="1:11" x14ac:dyDescent="0.2">
      <c r="A208" s="53">
        <v>39772</v>
      </c>
      <c r="B208" t="s">
        <v>182</v>
      </c>
      <c r="C208" t="s">
        <v>682</v>
      </c>
      <c r="D208" t="s">
        <v>664</v>
      </c>
      <c r="F208" t="s">
        <v>683</v>
      </c>
      <c r="H208" s="61">
        <v>-1991.39</v>
      </c>
      <c r="J208" t="s">
        <v>677</v>
      </c>
      <c r="K208">
        <v>524</v>
      </c>
    </row>
    <row r="209" spans="1:11" x14ac:dyDescent="0.2">
      <c r="A209" s="53">
        <v>39772</v>
      </c>
      <c r="B209" t="s">
        <v>182</v>
      </c>
      <c r="C209" t="s">
        <v>684</v>
      </c>
      <c r="D209" t="s">
        <v>664</v>
      </c>
      <c r="F209" t="s">
        <v>685</v>
      </c>
      <c r="H209" s="61">
        <v>1300</v>
      </c>
      <c r="J209" t="s">
        <v>677</v>
      </c>
      <c r="K209">
        <v>526</v>
      </c>
    </row>
    <row r="210" spans="1:11" x14ac:dyDescent="0.2">
      <c r="A210" s="53">
        <v>39772</v>
      </c>
      <c r="B210" t="s">
        <v>182</v>
      </c>
      <c r="C210" t="s">
        <v>686</v>
      </c>
      <c r="D210" t="s">
        <v>664</v>
      </c>
      <c r="F210" t="s">
        <v>687</v>
      </c>
      <c r="H210" s="62">
        <v>-10</v>
      </c>
      <c r="J210" t="s">
        <v>677</v>
      </c>
      <c r="K210">
        <v>528</v>
      </c>
    </row>
    <row r="211" spans="1:11" x14ac:dyDescent="0.2">
      <c r="A211" s="53">
        <v>39772</v>
      </c>
      <c r="B211" t="s">
        <v>182</v>
      </c>
      <c r="C211" t="s">
        <v>688</v>
      </c>
      <c r="D211" t="s">
        <v>664</v>
      </c>
      <c r="F211" t="s">
        <v>689</v>
      </c>
      <c r="H211" s="62">
        <v>250.98</v>
      </c>
      <c r="J211" t="s">
        <v>677</v>
      </c>
      <c r="K211">
        <v>530</v>
      </c>
    </row>
    <row r="212" spans="1:11" x14ac:dyDescent="0.2">
      <c r="A212" s="53">
        <v>39782</v>
      </c>
      <c r="B212" t="s">
        <v>182</v>
      </c>
      <c r="C212" t="s">
        <v>690</v>
      </c>
      <c r="D212" t="s">
        <v>664</v>
      </c>
      <c r="F212" t="s">
        <v>691</v>
      </c>
      <c r="H212" s="62">
        <v>-100</v>
      </c>
      <c r="J212" t="s">
        <v>373</v>
      </c>
      <c r="K212">
        <v>609</v>
      </c>
    </row>
    <row r="213" spans="1:11" x14ac:dyDescent="0.2">
      <c r="A213" s="53">
        <v>39791</v>
      </c>
      <c r="B213" t="s">
        <v>187</v>
      </c>
      <c r="C213" t="s">
        <v>692</v>
      </c>
      <c r="D213" t="s">
        <v>664</v>
      </c>
      <c r="F213" t="s">
        <v>693</v>
      </c>
      <c r="H213" s="62">
        <v>40</v>
      </c>
      <c r="I213" t="s">
        <v>694</v>
      </c>
      <c r="J213" t="s">
        <v>695</v>
      </c>
      <c r="K213">
        <v>596</v>
      </c>
    </row>
    <row r="214" spans="1:11" x14ac:dyDescent="0.2">
      <c r="A214" s="53">
        <v>39791</v>
      </c>
      <c r="B214" t="s">
        <v>187</v>
      </c>
      <c r="C214" t="s">
        <v>692</v>
      </c>
      <c r="D214" t="s">
        <v>664</v>
      </c>
      <c r="F214" t="s">
        <v>696</v>
      </c>
      <c r="H214" s="62">
        <v>168.05</v>
      </c>
      <c r="I214" t="s">
        <v>697</v>
      </c>
      <c r="J214" t="s">
        <v>695</v>
      </c>
      <c r="K214">
        <v>598</v>
      </c>
    </row>
    <row r="215" spans="1:11" x14ac:dyDescent="0.2">
      <c r="A215" s="53">
        <v>39791</v>
      </c>
      <c r="B215" t="s">
        <v>187</v>
      </c>
      <c r="C215" t="s">
        <v>692</v>
      </c>
      <c r="D215" t="s">
        <v>664</v>
      </c>
      <c r="F215" t="s">
        <v>698</v>
      </c>
      <c r="H215" s="62">
        <v>30</v>
      </c>
      <c r="I215" t="s">
        <v>694</v>
      </c>
      <c r="J215" t="s">
        <v>695</v>
      </c>
      <c r="K215">
        <v>600</v>
      </c>
    </row>
    <row r="216" spans="1:11" x14ac:dyDescent="0.2">
      <c r="A216" s="53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2">
        <v>-1.5</v>
      </c>
      <c r="I216" t="s">
        <v>700</v>
      </c>
      <c r="J216" t="s">
        <v>695</v>
      </c>
      <c r="K216">
        <v>602</v>
      </c>
    </row>
    <row r="217" spans="1:11" x14ac:dyDescent="0.2">
      <c r="A217" s="53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2">
        <v>-256.2</v>
      </c>
      <c r="I217" t="s">
        <v>702</v>
      </c>
      <c r="J217" t="s">
        <v>695</v>
      </c>
      <c r="K217">
        <v>604</v>
      </c>
    </row>
    <row r="218" spans="1:11" x14ac:dyDescent="0.2">
      <c r="A218" s="53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2">
        <v>-372.95</v>
      </c>
      <c r="I218" t="s">
        <v>702</v>
      </c>
      <c r="J218" t="s">
        <v>695</v>
      </c>
      <c r="K218">
        <v>606</v>
      </c>
    </row>
    <row r="219" spans="1:11" x14ac:dyDescent="0.2">
      <c r="A219" s="53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2">
        <v>-50.23</v>
      </c>
      <c r="I219" t="s">
        <v>704</v>
      </c>
      <c r="J219" t="s">
        <v>695</v>
      </c>
      <c r="K219">
        <v>608</v>
      </c>
    </row>
    <row r="220" spans="1:11" x14ac:dyDescent="0.2">
      <c r="A220" s="53">
        <v>39813</v>
      </c>
      <c r="B220" t="s">
        <v>182</v>
      </c>
      <c r="C220" t="s">
        <v>705</v>
      </c>
      <c r="D220" t="s">
        <v>664</v>
      </c>
      <c r="F220" t="s">
        <v>706</v>
      </c>
      <c r="H220" s="61">
        <v>-1000</v>
      </c>
      <c r="J220" t="s">
        <v>373</v>
      </c>
      <c r="K220">
        <v>656</v>
      </c>
    </row>
    <row r="221" spans="1:11" x14ac:dyDescent="0.2">
      <c r="A221" s="53">
        <v>39813</v>
      </c>
      <c r="B221" t="s">
        <v>182</v>
      </c>
      <c r="C221" t="s">
        <v>705</v>
      </c>
      <c r="D221" t="s">
        <v>664</v>
      </c>
      <c r="F221" t="s">
        <v>707</v>
      </c>
      <c r="H221" s="61">
        <v>-1000</v>
      </c>
      <c r="J221" t="s">
        <v>373</v>
      </c>
      <c r="K221">
        <v>658</v>
      </c>
    </row>
    <row r="222" spans="1:11" x14ac:dyDescent="0.2">
      <c r="A222" s="53">
        <v>39813</v>
      </c>
      <c r="B222" t="s">
        <v>182</v>
      </c>
      <c r="C222" t="s">
        <v>708</v>
      </c>
      <c r="D222" t="s">
        <v>664</v>
      </c>
      <c r="F222" t="s">
        <v>709</v>
      </c>
      <c r="H222" s="61">
        <v>-1500</v>
      </c>
      <c r="J222" t="s">
        <v>373</v>
      </c>
      <c r="K222">
        <v>751</v>
      </c>
    </row>
    <row r="223" spans="1:11" x14ac:dyDescent="0.2">
      <c r="A223" s="53">
        <v>39813</v>
      </c>
      <c r="B223" t="s">
        <v>182</v>
      </c>
      <c r="C223" t="s">
        <v>710</v>
      </c>
      <c r="D223" t="s">
        <v>664</v>
      </c>
      <c r="F223" t="s">
        <v>711</v>
      </c>
      <c r="H223" s="62">
        <v>483.27</v>
      </c>
      <c r="J223" t="s">
        <v>373</v>
      </c>
      <c r="K223">
        <v>768</v>
      </c>
    </row>
    <row r="224" spans="1:11" x14ac:dyDescent="0.2">
      <c r="H224"/>
    </row>
    <row r="225" spans="8:8" x14ac:dyDescent="0.2">
      <c r="H225" s="63">
        <f>SUM(H201:H224)</f>
        <v>-1312.45</v>
      </c>
    </row>
  </sheetData>
  <phoneticPr fontId="15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9"/>
  <sheetViews>
    <sheetView zoomScaleNormal="100" workbookViewId="0">
      <pane xSplit="1" ySplit="2" topLeftCell="B6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J26" sqref="J26"/>
    </sheetView>
  </sheetViews>
  <sheetFormatPr defaultRowHeight="12.75" x14ac:dyDescent="0.2"/>
  <cols>
    <col min="1" max="1" width="30.28515625" customWidth="1"/>
    <col min="2" max="2" width="16" style="381" bestFit="1" customWidth="1"/>
    <col min="3" max="3" width="11.85546875" style="381" bestFit="1" customWidth="1"/>
    <col min="4" max="4" width="6.42578125" customWidth="1"/>
    <col min="5" max="5" width="16" style="381" bestFit="1" customWidth="1"/>
    <col min="6" max="6" width="11.85546875" style="381" bestFit="1" customWidth="1"/>
    <col min="7" max="7" width="6.42578125" style="79" customWidth="1"/>
    <col min="8" max="8" width="11.7109375" customWidth="1"/>
  </cols>
  <sheetData>
    <row r="1" spans="1:10" ht="31.5" customHeight="1" x14ac:dyDescent="0.2">
      <c r="A1" s="47" t="s">
        <v>152</v>
      </c>
    </row>
    <row r="2" spans="1:10" ht="15.75" x14ac:dyDescent="0.2">
      <c r="A2" s="42" t="s">
        <v>168</v>
      </c>
      <c r="B2" s="402">
        <f>'Man Accs '!B3</f>
        <v>43039</v>
      </c>
      <c r="C2" s="403"/>
      <c r="E2" s="402">
        <v>42735</v>
      </c>
      <c r="F2" s="403"/>
    </row>
    <row r="3" spans="1:10" ht="10.5" customHeight="1" x14ac:dyDescent="0.2">
      <c r="A3" s="43"/>
      <c r="B3" s="382"/>
      <c r="C3" s="383"/>
      <c r="D3" s="88"/>
      <c r="E3" s="382"/>
      <c r="F3" s="383"/>
      <c r="G3" s="88"/>
    </row>
    <row r="4" spans="1:10" x14ac:dyDescent="0.2">
      <c r="A4" s="44" t="s">
        <v>153</v>
      </c>
      <c r="B4" s="382"/>
      <c r="C4" s="383"/>
      <c r="D4" s="88"/>
      <c r="E4" s="382"/>
      <c r="F4" s="383"/>
      <c r="G4" s="88"/>
    </row>
    <row r="5" spans="1:10" x14ac:dyDescent="0.2">
      <c r="A5" s="43"/>
      <c r="B5" s="382"/>
      <c r="C5" s="383"/>
      <c r="D5" s="89"/>
      <c r="E5" s="382"/>
      <c r="F5" s="383"/>
      <c r="G5" s="89"/>
    </row>
    <row r="6" spans="1:10" x14ac:dyDescent="0.2">
      <c r="A6" s="43" t="s">
        <v>154</v>
      </c>
      <c r="B6" s="384"/>
      <c r="C6" s="385">
        <f>+TB!D5</f>
        <v>791672</v>
      </c>
      <c r="D6" s="89"/>
      <c r="E6" s="384"/>
      <c r="F6" s="385">
        <v>836188</v>
      </c>
      <c r="G6" s="89"/>
    </row>
    <row r="7" spans="1:10" x14ac:dyDescent="0.2">
      <c r="A7" s="43"/>
      <c r="B7" s="384"/>
      <c r="C7" s="385"/>
      <c r="D7" s="89"/>
      <c r="E7" s="384"/>
      <c r="F7" s="385"/>
      <c r="G7" s="89"/>
    </row>
    <row r="8" spans="1:10" x14ac:dyDescent="0.2">
      <c r="A8" s="44" t="s">
        <v>155</v>
      </c>
      <c r="B8" s="384"/>
      <c r="C8" s="385"/>
      <c r="D8" s="89"/>
      <c r="E8" s="384"/>
      <c r="F8" s="385"/>
      <c r="G8" s="89"/>
    </row>
    <row r="9" spans="1:10" s="79" customFormat="1" x14ac:dyDescent="0.2">
      <c r="A9" s="44"/>
      <c r="B9" s="384"/>
      <c r="C9" s="385"/>
      <c r="D9" s="89"/>
      <c r="E9" s="384"/>
      <c r="F9" s="385"/>
      <c r="G9" s="89"/>
    </row>
    <row r="10" spans="1:10" x14ac:dyDescent="0.2">
      <c r="A10" s="43" t="s">
        <v>781</v>
      </c>
      <c r="B10" s="384">
        <f>TB!D6</f>
        <v>0</v>
      </c>
      <c r="C10" s="385"/>
      <c r="D10" s="89"/>
      <c r="E10" s="384">
        <v>0</v>
      </c>
      <c r="F10" s="385"/>
      <c r="G10" s="89"/>
    </row>
    <row r="11" spans="1:10" s="79" customFormat="1" x14ac:dyDescent="0.2">
      <c r="A11" s="43" t="s">
        <v>806</v>
      </c>
      <c r="B11" s="384">
        <f>TB!D25</f>
        <v>0</v>
      </c>
      <c r="C11" s="385"/>
      <c r="D11" s="89"/>
      <c r="E11" s="384">
        <v>-5472.56</v>
      </c>
      <c r="F11" s="385"/>
      <c r="G11" s="89"/>
    </row>
    <row r="12" spans="1:10" x14ac:dyDescent="0.2">
      <c r="A12" s="43" t="s">
        <v>817</v>
      </c>
      <c r="B12" s="384">
        <f>TB!D15</f>
        <v>1837.27</v>
      </c>
      <c r="C12" s="385"/>
      <c r="D12" s="89"/>
      <c r="E12" s="384">
        <v>369.26</v>
      </c>
      <c r="F12" s="385"/>
      <c r="G12" s="89"/>
    </row>
    <row r="13" spans="1:10" s="79" customFormat="1" x14ac:dyDescent="0.2">
      <c r="A13" s="43" t="s">
        <v>1007</v>
      </c>
      <c r="B13" s="384">
        <v>0</v>
      </c>
      <c r="C13" s="385"/>
      <c r="D13" s="89"/>
      <c r="E13" s="384">
        <v>8517.85</v>
      </c>
      <c r="F13" s="385"/>
      <c r="G13" s="89"/>
    </row>
    <row r="14" spans="1:10" x14ac:dyDescent="0.2">
      <c r="A14" s="43" t="s">
        <v>156</v>
      </c>
      <c r="B14" s="384">
        <f>SUM(TB!D7:D10)+TB!D14</f>
        <v>56284.909999999996</v>
      </c>
      <c r="C14" s="385"/>
      <c r="D14" s="89"/>
      <c r="E14" s="384">
        <v>49782.73</v>
      </c>
      <c r="F14" s="385"/>
      <c r="G14" s="89"/>
    </row>
    <row r="15" spans="1:10" x14ac:dyDescent="0.2">
      <c r="A15" s="43"/>
      <c r="B15" s="386">
        <f>SUM(B10:B14)</f>
        <v>58122.179999999993</v>
      </c>
      <c r="C15" s="383"/>
      <c r="D15" s="89"/>
      <c r="E15" s="386">
        <f>SUM(E10:E14)</f>
        <v>53197.280000000006</v>
      </c>
      <c r="F15" s="383"/>
      <c r="G15" s="89"/>
    </row>
    <row r="16" spans="1:10" x14ac:dyDescent="0.2">
      <c r="A16" s="44" t="s">
        <v>157</v>
      </c>
      <c r="B16" s="382"/>
      <c r="C16" s="383"/>
      <c r="D16" s="89"/>
      <c r="E16" s="382"/>
      <c r="F16" s="383"/>
      <c r="G16" s="89"/>
      <c r="I16" s="78"/>
      <c r="J16" s="78"/>
    </row>
    <row r="17" spans="1:10" x14ac:dyDescent="0.2">
      <c r="A17" s="43"/>
      <c r="B17" s="382"/>
      <c r="C17" s="383"/>
      <c r="D17" s="89"/>
      <c r="E17" s="382"/>
      <c r="F17" s="383"/>
      <c r="G17" s="89"/>
      <c r="I17" s="78"/>
      <c r="J17" s="78"/>
    </row>
    <row r="18" spans="1:10" ht="25.5" x14ac:dyDescent="0.2">
      <c r="A18" s="44" t="s">
        <v>158</v>
      </c>
      <c r="B18" s="382"/>
      <c r="C18" s="383"/>
      <c r="D18" s="89"/>
      <c r="E18" s="382"/>
      <c r="F18" s="383"/>
      <c r="G18" s="89"/>
      <c r="H18" s="78"/>
      <c r="I18" s="78"/>
      <c r="J18" s="78"/>
    </row>
    <row r="19" spans="1:10" s="79" customFormat="1" x14ac:dyDescent="0.2">
      <c r="A19" s="43" t="s">
        <v>170</v>
      </c>
      <c r="B19" s="384">
        <f>-TB!D16</f>
        <v>28914.720000000001</v>
      </c>
      <c r="C19" s="383"/>
      <c r="D19" s="89"/>
      <c r="E19" s="384">
        <v>31739.97</v>
      </c>
      <c r="F19" s="383"/>
      <c r="G19" s="89"/>
      <c r="I19" s="78"/>
      <c r="J19" s="78"/>
    </row>
    <row r="20" spans="1:10" x14ac:dyDescent="0.2">
      <c r="A20" s="43" t="s">
        <v>987</v>
      </c>
      <c r="B20" s="384">
        <f>-TB!D12</f>
        <v>16336.15</v>
      </c>
      <c r="C20" s="383"/>
      <c r="D20" s="89"/>
      <c r="E20" s="384">
        <v>47507.94</v>
      </c>
      <c r="F20" s="383"/>
      <c r="G20" s="89"/>
      <c r="I20" s="78"/>
      <c r="J20" s="78"/>
    </row>
    <row r="21" spans="1:10" x14ac:dyDescent="0.2">
      <c r="A21" s="43" t="s">
        <v>780</v>
      </c>
      <c r="B21" s="384">
        <f>-TB!D13-TB!D18-TB!D19-TB!D20</f>
        <v>0</v>
      </c>
      <c r="C21" s="383"/>
      <c r="D21" s="89"/>
      <c r="E21" s="384">
        <v>0</v>
      </c>
      <c r="F21" s="383"/>
      <c r="G21" s="89"/>
      <c r="I21" s="78"/>
      <c r="J21" s="78"/>
    </row>
    <row r="22" spans="1:10" s="79" customFormat="1" x14ac:dyDescent="0.2">
      <c r="A22" s="43" t="s">
        <v>807</v>
      </c>
      <c r="B22" s="384">
        <f>-TB!D24</f>
        <v>0</v>
      </c>
      <c r="C22" s="383"/>
      <c r="D22" s="89"/>
      <c r="E22" s="384">
        <v>-5472.56</v>
      </c>
      <c r="F22" s="383"/>
      <c r="G22" s="89"/>
      <c r="I22" s="78"/>
      <c r="J22" s="78"/>
    </row>
    <row r="23" spans="1:10" x14ac:dyDescent="0.2">
      <c r="A23" s="43" t="s">
        <v>120</v>
      </c>
      <c r="B23" s="384">
        <f>-TB!D21</f>
        <v>0</v>
      </c>
      <c r="C23" s="383"/>
      <c r="D23" s="89"/>
      <c r="E23" s="384">
        <v>74171.259999999995</v>
      </c>
      <c r="F23" s="383"/>
      <c r="G23" s="89"/>
      <c r="I23" s="78"/>
      <c r="J23" s="78"/>
    </row>
    <row r="24" spans="1:10" s="79" customFormat="1" x14ac:dyDescent="0.2">
      <c r="A24" s="43" t="s">
        <v>993</v>
      </c>
      <c r="B24" s="384">
        <f>-TB!C22</f>
        <v>0</v>
      </c>
      <c r="C24" s="383"/>
      <c r="D24" s="89"/>
      <c r="E24" s="384">
        <f>-[1]TB!F22</f>
        <v>0</v>
      </c>
      <c r="F24" s="383"/>
      <c r="G24" s="89"/>
      <c r="I24" s="78"/>
      <c r="J24" s="78"/>
    </row>
    <row r="25" spans="1:10" x14ac:dyDescent="0.2">
      <c r="A25" s="43"/>
      <c r="B25" s="386">
        <f>SUM(B19:B24)</f>
        <v>45250.87</v>
      </c>
      <c r="C25" s="383"/>
      <c r="D25" s="89"/>
      <c r="E25" s="386">
        <f>SUM(E19:E24)</f>
        <v>147946.60999999999</v>
      </c>
      <c r="F25" s="383"/>
      <c r="G25" s="89"/>
      <c r="I25" s="78"/>
      <c r="J25" s="78"/>
    </row>
    <row r="26" spans="1:10" x14ac:dyDescent="0.2">
      <c r="A26" s="43"/>
      <c r="B26" s="382"/>
      <c r="C26" s="383"/>
      <c r="D26" s="89"/>
      <c r="E26" s="382"/>
      <c r="F26" s="383"/>
      <c r="G26" s="89"/>
      <c r="I26" s="78"/>
      <c r="J26" s="78"/>
    </row>
    <row r="27" spans="1:10" x14ac:dyDescent="0.2">
      <c r="A27" s="46"/>
      <c r="B27" s="382"/>
      <c r="C27" s="383"/>
      <c r="D27" s="89"/>
      <c r="E27" s="382"/>
      <c r="F27" s="383"/>
      <c r="G27" s="89"/>
      <c r="I27" s="78"/>
      <c r="J27" s="78"/>
    </row>
    <row r="28" spans="1:10" x14ac:dyDescent="0.2">
      <c r="A28" s="46" t="s">
        <v>167</v>
      </c>
      <c r="B28" s="382"/>
      <c r="C28" s="383">
        <f>+B15-B25</f>
        <v>12871.30999999999</v>
      </c>
      <c r="D28" s="89"/>
      <c r="E28" s="382"/>
      <c r="F28" s="383">
        <f>+E15-E25</f>
        <v>-94749.329999999987</v>
      </c>
      <c r="G28" s="89"/>
      <c r="I28" s="78"/>
      <c r="J28" s="78"/>
    </row>
    <row r="29" spans="1:10" x14ac:dyDescent="0.2">
      <c r="A29" s="43"/>
      <c r="B29" s="382"/>
      <c r="C29" s="383"/>
      <c r="D29" s="89"/>
      <c r="E29" s="382"/>
      <c r="F29" s="383"/>
      <c r="G29" s="89"/>
      <c r="I29" s="78"/>
      <c r="J29" s="78"/>
    </row>
    <row r="30" spans="1:10" x14ac:dyDescent="0.2">
      <c r="A30" s="44" t="s">
        <v>159</v>
      </c>
      <c r="B30" s="382"/>
      <c r="C30" s="387">
        <f>+C28+C6</f>
        <v>804543.30999999994</v>
      </c>
      <c r="D30" s="89"/>
      <c r="E30" s="382"/>
      <c r="F30" s="387">
        <f>+F28+F6</f>
        <v>741438.67</v>
      </c>
      <c r="G30" s="89"/>
      <c r="I30" s="78"/>
      <c r="J30" s="78"/>
    </row>
    <row r="31" spans="1:10" x14ac:dyDescent="0.2">
      <c r="A31" s="43"/>
      <c r="B31" s="382"/>
      <c r="C31" s="383"/>
      <c r="D31" s="89"/>
      <c r="E31" s="382"/>
      <c r="F31" s="383"/>
      <c r="G31" s="89"/>
      <c r="I31" s="78"/>
      <c r="J31" s="78"/>
    </row>
    <row r="32" spans="1:10" x14ac:dyDescent="0.2">
      <c r="A32" s="43"/>
      <c r="B32" s="382"/>
      <c r="C32" s="383"/>
      <c r="D32" s="89"/>
      <c r="E32" s="382"/>
      <c r="F32" s="383"/>
      <c r="G32" s="89"/>
      <c r="I32" s="78"/>
      <c r="J32" s="78"/>
    </row>
    <row r="33" spans="1:10" x14ac:dyDescent="0.2">
      <c r="A33" s="43"/>
      <c r="B33" s="382"/>
      <c r="C33" s="383"/>
      <c r="D33" s="89"/>
      <c r="E33" s="382"/>
      <c r="F33" s="383"/>
      <c r="G33" s="89"/>
      <c r="I33" s="78"/>
      <c r="J33" s="78"/>
    </row>
    <row r="34" spans="1:10" x14ac:dyDescent="0.2">
      <c r="A34" s="43" t="s">
        <v>160</v>
      </c>
      <c r="B34" s="382"/>
      <c r="C34" s="385">
        <f>-TB!D28-TB!D29-TB!D30-TB!D31-TB!D32</f>
        <v>549694.99000000011</v>
      </c>
      <c r="D34" s="90"/>
      <c r="E34" s="382"/>
      <c r="F34" s="385">
        <v>532447.74</v>
      </c>
      <c r="G34" s="90"/>
      <c r="I34" s="78"/>
      <c r="J34" s="78"/>
    </row>
    <row r="35" spans="1:10" x14ac:dyDescent="0.2">
      <c r="A35" s="43" t="s">
        <v>161</v>
      </c>
      <c r="B35" s="382"/>
      <c r="C35" s="385">
        <f>-TB!D26-TB!D27</f>
        <v>223129.45000000024</v>
      </c>
      <c r="D35" s="90"/>
      <c r="E35" s="382"/>
      <c r="F35" s="385">
        <v>258214.21999999997</v>
      </c>
      <c r="G35" s="90"/>
      <c r="I35" s="48"/>
      <c r="J35" s="78"/>
    </row>
    <row r="36" spans="1:10" ht="12.75" customHeight="1" x14ac:dyDescent="0.2">
      <c r="A36" s="43" t="s">
        <v>818</v>
      </c>
      <c r="B36" s="382"/>
      <c r="C36" s="385">
        <f>-TB!D118</f>
        <v>31718.869999999937</v>
      </c>
      <c r="D36" s="89"/>
      <c r="E36" s="382"/>
      <c r="F36" s="385">
        <v>-49223.289999999979</v>
      </c>
      <c r="G36" s="89"/>
      <c r="I36" s="78"/>
      <c r="J36" s="78"/>
    </row>
    <row r="37" spans="1:10" x14ac:dyDescent="0.2">
      <c r="A37" s="43"/>
      <c r="B37" s="382"/>
      <c r="C37" s="383"/>
      <c r="D37" s="89"/>
      <c r="E37" s="382"/>
      <c r="F37" s="383"/>
      <c r="G37" s="89"/>
      <c r="I37" s="78"/>
      <c r="J37" s="78"/>
    </row>
    <row r="38" spans="1:10" x14ac:dyDescent="0.2">
      <c r="A38" s="45" t="s">
        <v>162</v>
      </c>
      <c r="B38" s="382"/>
      <c r="C38" s="387">
        <f>SUM(C34:C37)</f>
        <v>804543.31000000029</v>
      </c>
      <c r="D38" s="89"/>
      <c r="E38" s="382"/>
      <c r="F38" s="387">
        <f>SUM(F34:F37)</f>
        <v>741438.66999999993</v>
      </c>
      <c r="G38" s="89"/>
      <c r="I38" s="78"/>
      <c r="J38" s="78"/>
    </row>
    <row r="39" spans="1:10" x14ac:dyDescent="0.2">
      <c r="A39" s="43"/>
      <c r="B39" s="382"/>
      <c r="C39" s="383"/>
      <c r="D39" s="89"/>
      <c r="E39" s="382"/>
      <c r="F39" s="383"/>
      <c r="G39" s="89"/>
      <c r="I39" s="78"/>
      <c r="J39" s="78"/>
    </row>
    <row r="40" spans="1:10" x14ac:dyDescent="0.2">
      <c r="B40" s="388" t="s">
        <v>989</v>
      </c>
      <c r="C40" s="389">
        <f>TB!D4</f>
        <v>0</v>
      </c>
      <c r="D40" s="89"/>
      <c r="E40" s="388" t="s">
        <v>989</v>
      </c>
      <c r="F40" s="389">
        <f>[1]TB!G4</f>
        <v>0</v>
      </c>
      <c r="G40" s="89"/>
      <c r="I40" s="78"/>
      <c r="J40" s="78"/>
    </row>
    <row r="41" spans="1:10" x14ac:dyDescent="0.2">
      <c r="B41" s="390"/>
      <c r="C41" s="390"/>
      <c r="D41" s="4"/>
      <c r="E41" s="390"/>
      <c r="F41" s="390"/>
      <c r="G41" s="4"/>
      <c r="I41" s="78"/>
      <c r="J41" s="78"/>
    </row>
    <row r="42" spans="1:10" x14ac:dyDescent="0.2">
      <c r="B42" s="390"/>
      <c r="C42" s="391">
        <f>ROUND(C30-C38+C40,2)</f>
        <v>0</v>
      </c>
      <c r="D42" s="4"/>
      <c r="E42" s="390"/>
      <c r="F42" s="391">
        <f>ROUND(F30-F38+F40,2)</f>
        <v>0</v>
      </c>
      <c r="G42" s="4"/>
      <c r="I42" s="78"/>
      <c r="J42" s="78"/>
    </row>
    <row r="43" spans="1:10" x14ac:dyDescent="0.2">
      <c r="B43" s="390"/>
      <c r="C43" s="391"/>
      <c r="D43" s="4"/>
      <c r="E43" s="390"/>
      <c r="F43" s="391"/>
      <c r="G43" s="4"/>
      <c r="I43" s="78"/>
      <c r="J43" s="78"/>
    </row>
    <row r="44" spans="1:10" x14ac:dyDescent="0.2">
      <c r="D44" s="1"/>
      <c r="G44" s="1"/>
      <c r="I44" s="78"/>
      <c r="J44" s="78"/>
    </row>
    <row r="45" spans="1:10" x14ac:dyDescent="0.2">
      <c r="D45" s="1"/>
      <c r="G45" s="1"/>
      <c r="I45" s="78"/>
      <c r="J45" s="78"/>
    </row>
    <row r="46" spans="1:10" x14ac:dyDescent="0.2">
      <c r="B46" s="392"/>
      <c r="C46" s="393"/>
      <c r="D46" s="1"/>
      <c r="E46" s="392"/>
      <c r="F46" s="393"/>
      <c r="G46" s="1"/>
      <c r="I46" s="78"/>
      <c r="J46" s="78"/>
    </row>
    <row r="47" spans="1:10" x14ac:dyDescent="0.2">
      <c r="B47" s="392"/>
      <c r="C47" s="393"/>
      <c r="E47" s="392"/>
      <c r="F47" s="393"/>
      <c r="I47" s="78"/>
      <c r="J47" s="78"/>
    </row>
    <row r="48" spans="1:10" s="3" customFormat="1" x14ac:dyDescent="0.2">
      <c r="A48"/>
      <c r="B48" s="392"/>
      <c r="C48" s="392"/>
      <c r="D48"/>
      <c r="E48" s="392"/>
      <c r="F48" s="392"/>
      <c r="G48" s="79"/>
    </row>
    <row r="49" spans="1:7" x14ac:dyDescent="0.2">
      <c r="A49" s="6"/>
      <c r="B49" s="394"/>
      <c r="C49" s="393"/>
      <c r="D49" s="3"/>
      <c r="E49" s="394"/>
      <c r="F49" s="393"/>
      <c r="G49" s="3"/>
    </row>
  </sheetData>
  <mergeCells count="2">
    <mergeCell ref="B2:C2"/>
    <mergeCell ref="E2:F2"/>
  </mergeCells>
  <phoneticPr fontId="155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zoomScale="115" zoomScaleNormal="115" zoomScaleSheetLayoutView="70" workbookViewId="0">
      <pane ySplit="3" topLeftCell="A88" activePane="bottomLeft" state="frozen"/>
      <selection pane="bottomLeft" activeCell="I108" sqref="I108"/>
    </sheetView>
  </sheetViews>
  <sheetFormatPr defaultRowHeight="11.1" customHeight="1" x14ac:dyDescent="0.2"/>
  <cols>
    <col min="1" max="1" width="14.5703125" style="98" bestFit="1" customWidth="1"/>
    <col min="2" max="2" width="39.5703125" style="98" bestFit="1" customWidth="1"/>
    <col min="3" max="4" width="18.5703125" style="123" customWidth="1"/>
    <col min="5" max="5" width="16.28515625" style="98" bestFit="1" customWidth="1"/>
    <col min="6" max="6" width="13" style="123" customWidth="1"/>
    <col min="7" max="16384" width="9.140625" style="98"/>
  </cols>
  <sheetData>
    <row r="1" spans="1:6" s="96" customFormat="1" ht="18.75" thickBot="1" x14ac:dyDescent="0.25">
      <c r="A1" s="93" t="s">
        <v>996</v>
      </c>
      <c r="B1" s="94"/>
      <c r="C1" s="115"/>
      <c r="D1" s="115"/>
      <c r="E1" s="95"/>
      <c r="F1" s="128"/>
    </row>
    <row r="2" spans="1:6" ht="11.1" customHeight="1" thickBot="1" x14ac:dyDescent="0.25">
      <c r="A2" s="97" t="s">
        <v>785</v>
      </c>
      <c r="B2" s="97" t="s">
        <v>786</v>
      </c>
      <c r="C2" s="116" t="s">
        <v>964</v>
      </c>
      <c r="D2" s="116" t="s">
        <v>923</v>
      </c>
      <c r="E2" s="404" t="s">
        <v>931</v>
      </c>
      <c r="F2" s="405"/>
    </row>
    <row r="3" spans="1:6" ht="11.1" customHeight="1" thickBot="1" x14ac:dyDescent="0.25">
      <c r="A3" s="99"/>
      <c r="B3" s="99"/>
      <c r="C3" s="117">
        <f>SUM(C4:C116)</f>
        <v>7.2759576141834259E-12</v>
      </c>
      <c r="D3" s="117">
        <f>SUM(D4:D116)</f>
        <v>-7.2759576141834259E-12</v>
      </c>
      <c r="E3" s="100">
        <f>SUM(E4:E116)</f>
        <v>-1.4210854715202004E-14</v>
      </c>
      <c r="F3" s="395" t="s">
        <v>944</v>
      </c>
    </row>
    <row r="4" spans="1:6" ht="12.75" customHeight="1" x14ac:dyDescent="0.2">
      <c r="A4" s="101">
        <v>9999</v>
      </c>
      <c r="B4" s="102" t="s">
        <v>955</v>
      </c>
      <c r="C4" s="118"/>
      <c r="D4" s="124">
        <f t="shared" ref="D4:D10" si="0">+C4+E4</f>
        <v>0</v>
      </c>
      <c r="E4" s="112">
        <f t="shared" ref="E4:E10" si="1">SUM(F4:F4)</f>
        <v>0</v>
      </c>
      <c r="F4" s="133"/>
    </row>
    <row r="5" spans="1:6" ht="12.75" customHeight="1" x14ac:dyDescent="0.2">
      <c r="A5" s="101" t="s">
        <v>787</v>
      </c>
      <c r="B5" s="102" t="s">
        <v>154</v>
      </c>
      <c r="C5" s="118">
        <v>-50000</v>
      </c>
      <c r="D5" s="124">
        <f t="shared" si="0"/>
        <v>-50000</v>
      </c>
      <c r="E5" s="112">
        <f t="shared" si="1"/>
        <v>0</v>
      </c>
      <c r="F5" s="135"/>
    </row>
    <row r="6" spans="1:6" ht="12.75" customHeight="1" x14ac:dyDescent="0.2">
      <c r="A6" s="101" t="s">
        <v>788</v>
      </c>
      <c r="B6" s="102" t="s">
        <v>781</v>
      </c>
      <c r="C6" s="118"/>
      <c r="D6" s="124">
        <f t="shared" si="0"/>
        <v>0</v>
      </c>
      <c r="E6" s="112">
        <f t="shared" si="1"/>
        <v>0</v>
      </c>
      <c r="F6" s="135"/>
    </row>
    <row r="7" spans="1:6" ht="12.75" customHeight="1" x14ac:dyDescent="0.2">
      <c r="A7" s="101" t="s">
        <v>789</v>
      </c>
      <c r="B7" s="102" t="s">
        <v>790</v>
      </c>
      <c r="C7" s="118"/>
      <c r="D7" s="298">
        <f t="shared" si="0"/>
        <v>0</v>
      </c>
      <c r="E7" s="112">
        <f t="shared" si="1"/>
        <v>0</v>
      </c>
      <c r="F7" s="135"/>
    </row>
    <row r="8" spans="1:6" ht="12.75" customHeight="1" x14ac:dyDescent="0.2">
      <c r="A8" s="101" t="s">
        <v>791</v>
      </c>
      <c r="B8" s="102" t="s">
        <v>792</v>
      </c>
      <c r="C8" s="118"/>
      <c r="D8" s="298">
        <f t="shared" si="0"/>
        <v>0</v>
      </c>
      <c r="E8" s="112">
        <f t="shared" si="1"/>
        <v>0</v>
      </c>
      <c r="F8" s="135"/>
    </row>
    <row r="9" spans="1:6" ht="12.75" customHeight="1" x14ac:dyDescent="0.2">
      <c r="A9" s="101" t="s">
        <v>793</v>
      </c>
      <c r="B9" s="102" t="s">
        <v>794</v>
      </c>
      <c r="C9" s="118">
        <v>25197.73</v>
      </c>
      <c r="D9" s="124">
        <f t="shared" si="0"/>
        <v>25197.73</v>
      </c>
      <c r="E9" s="112">
        <f t="shared" si="1"/>
        <v>0</v>
      </c>
      <c r="F9" s="135"/>
    </row>
    <row r="10" spans="1:6" ht="12.75" customHeight="1" x14ac:dyDescent="0.2">
      <c r="A10" s="101" t="s">
        <v>795</v>
      </c>
      <c r="B10" s="102" t="s">
        <v>796</v>
      </c>
      <c r="C10" s="118"/>
      <c r="D10" s="124">
        <f t="shared" si="0"/>
        <v>0</v>
      </c>
      <c r="E10" s="112">
        <f t="shared" si="1"/>
        <v>0</v>
      </c>
      <c r="F10" s="135"/>
    </row>
    <row r="11" spans="1:6" ht="12.75" customHeight="1" x14ac:dyDescent="0.2">
      <c r="A11" s="101" t="s">
        <v>1000</v>
      </c>
      <c r="B11" s="102" t="s">
        <v>1001</v>
      </c>
      <c r="C11" s="118"/>
      <c r="D11" s="124"/>
      <c r="E11" s="112"/>
      <c r="F11" s="135"/>
    </row>
    <row r="12" spans="1:6" ht="12.75" customHeight="1" x14ac:dyDescent="0.2">
      <c r="A12" s="101" t="s">
        <v>797</v>
      </c>
      <c r="B12" s="102" t="s">
        <v>798</v>
      </c>
      <c r="C12" s="118">
        <v>8499.1</v>
      </c>
      <c r="D12" s="124">
        <f t="shared" ref="D12:D33" si="2">+C12+E12</f>
        <v>8499.1</v>
      </c>
      <c r="E12" s="112">
        <f t="shared" ref="E12:E33" si="3">SUM(F12:F12)</f>
        <v>0</v>
      </c>
      <c r="F12" s="135"/>
    </row>
    <row r="13" spans="1:6" ht="12.75" customHeight="1" x14ac:dyDescent="0.2">
      <c r="A13" s="101" t="s">
        <v>799</v>
      </c>
      <c r="B13" s="102" t="s">
        <v>780</v>
      </c>
      <c r="C13" s="118"/>
      <c r="D13" s="124">
        <f t="shared" si="2"/>
        <v>0</v>
      </c>
      <c r="E13" s="112">
        <f t="shared" si="3"/>
        <v>0</v>
      </c>
      <c r="F13" s="135"/>
    </row>
    <row r="14" spans="1:6" ht="12.75" customHeight="1" x14ac:dyDescent="0.2">
      <c r="A14" s="101" t="s">
        <v>997</v>
      </c>
      <c r="B14" s="102" t="s">
        <v>998</v>
      </c>
      <c r="C14" s="122"/>
      <c r="D14" s="146">
        <f t="shared" si="2"/>
        <v>0</v>
      </c>
      <c r="E14" s="112">
        <f t="shared" si="3"/>
        <v>0</v>
      </c>
      <c r="F14" s="135"/>
    </row>
    <row r="15" spans="1:6" ht="12.75" customHeight="1" x14ac:dyDescent="0.2">
      <c r="A15" s="101" t="s">
        <v>816</v>
      </c>
      <c r="B15" s="102" t="s">
        <v>817</v>
      </c>
      <c r="C15" s="118">
        <v>-778.42</v>
      </c>
      <c r="D15" s="124">
        <f t="shared" si="2"/>
        <v>-778.42</v>
      </c>
      <c r="E15" s="112">
        <f t="shared" si="3"/>
        <v>0</v>
      </c>
      <c r="F15" s="135"/>
    </row>
    <row r="16" spans="1:6" ht="12.75" customHeight="1" x14ac:dyDescent="0.2">
      <c r="A16" s="101" t="s">
        <v>783</v>
      </c>
      <c r="B16" s="102" t="s">
        <v>170</v>
      </c>
      <c r="C16" s="118">
        <v>837.27</v>
      </c>
      <c r="D16" s="124">
        <f t="shared" si="2"/>
        <v>837.27</v>
      </c>
      <c r="E16" s="112">
        <f t="shared" si="3"/>
        <v>0</v>
      </c>
      <c r="F16" s="135"/>
    </row>
    <row r="17" spans="1:6" ht="12.75" customHeight="1" x14ac:dyDescent="0.2">
      <c r="A17" s="101" t="s">
        <v>694</v>
      </c>
      <c r="B17" s="102" t="s">
        <v>800</v>
      </c>
      <c r="C17" s="118"/>
      <c r="D17" s="124">
        <f t="shared" si="2"/>
        <v>0</v>
      </c>
      <c r="E17" s="112">
        <f t="shared" si="3"/>
        <v>0</v>
      </c>
      <c r="F17" s="135"/>
    </row>
    <row r="18" spans="1:6" ht="12.75" customHeight="1" x14ac:dyDescent="0.2">
      <c r="A18" s="101" t="s">
        <v>801</v>
      </c>
      <c r="B18" s="102" t="s">
        <v>802</v>
      </c>
      <c r="C18" s="118"/>
      <c r="D18" s="124">
        <f t="shared" si="2"/>
        <v>0</v>
      </c>
      <c r="E18" s="112">
        <f t="shared" si="3"/>
        <v>0</v>
      </c>
      <c r="F18" s="135"/>
    </row>
    <row r="19" spans="1:6" ht="12.75" customHeight="1" x14ac:dyDescent="0.2">
      <c r="A19" s="101" t="s">
        <v>926</v>
      </c>
      <c r="B19" s="102" t="s">
        <v>927</v>
      </c>
      <c r="C19" s="118"/>
      <c r="D19" s="124">
        <f t="shared" si="2"/>
        <v>0</v>
      </c>
      <c r="E19" s="112">
        <f t="shared" si="3"/>
        <v>0</v>
      </c>
      <c r="F19" s="135"/>
    </row>
    <row r="20" spans="1:6" ht="12.75" customHeight="1" x14ac:dyDescent="0.2">
      <c r="A20" s="101" t="s">
        <v>814</v>
      </c>
      <c r="B20" s="102" t="s">
        <v>815</v>
      </c>
      <c r="C20" s="118"/>
      <c r="D20" s="124">
        <f t="shared" si="2"/>
        <v>0</v>
      </c>
      <c r="E20" s="112">
        <f t="shared" si="3"/>
        <v>0</v>
      </c>
      <c r="F20" s="135"/>
    </row>
    <row r="21" spans="1:6" ht="12.75" customHeight="1" x14ac:dyDescent="0.2">
      <c r="A21" s="101" t="s">
        <v>664</v>
      </c>
      <c r="B21" s="102" t="s">
        <v>990</v>
      </c>
      <c r="C21" s="118"/>
      <c r="D21" s="124">
        <f t="shared" si="2"/>
        <v>0</v>
      </c>
      <c r="E21" s="112">
        <f t="shared" si="3"/>
        <v>0</v>
      </c>
      <c r="F21" s="135"/>
    </row>
    <row r="22" spans="1:6" ht="12.75" customHeight="1" x14ac:dyDescent="0.2">
      <c r="A22" s="101" t="s">
        <v>992</v>
      </c>
      <c r="B22" s="102" t="s">
        <v>991</v>
      </c>
      <c r="C22" s="118"/>
      <c r="D22" s="124">
        <f t="shared" si="2"/>
        <v>0</v>
      </c>
      <c r="E22" s="112">
        <f t="shared" si="3"/>
        <v>0</v>
      </c>
      <c r="F22" s="135"/>
    </row>
    <row r="23" spans="1:6" ht="12.75" customHeight="1" x14ac:dyDescent="0.2">
      <c r="A23" s="101" t="s">
        <v>803</v>
      </c>
      <c r="B23" s="102" t="s">
        <v>804</v>
      </c>
      <c r="C23" s="118"/>
      <c r="D23" s="124">
        <f t="shared" si="2"/>
        <v>0</v>
      </c>
      <c r="E23" s="112">
        <f t="shared" si="3"/>
        <v>0</v>
      </c>
      <c r="F23" s="135"/>
    </row>
    <row r="24" spans="1:6" ht="12.75" customHeight="1" x14ac:dyDescent="0.2">
      <c r="A24" s="101" t="s">
        <v>805</v>
      </c>
      <c r="B24" s="102" t="s">
        <v>806</v>
      </c>
      <c r="C24" s="118">
        <v>1292.98</v>
      </c>
      <c r="D24" s="124">
        <f t="shared" si="2"/>
        <v>0</v>
      </c>
      <c r="E24" s="112">
        <f t="shared" si="3"/>
        <v>-1292.98</v>
      </c>
      <c r="F24" s="135">
        <v>-1292.98</v>
      </c>
    </row>
    <row r="25" spans="1:6" ht="12.75" customHeight="1" x14ac:dyDescent="0.2">
      <c r="A25" s="101" t="s">
        <v>697</v>
      </c>
      <c r="B25" s="102" t="s">
        <v>807</v>
      </c>
      <c r="C25" s="118"/>
      <c r="D25" s="124">
        <f t="shared" si="2"/>
        <v>0</v>
      </c>
      <c r="E25" s="112">
        <f t="shared" si="3"/>
        <v>0</v>
      </c>
      <c r="F25" s="135"/>
    </row>
    <row r="26" spans="1:6" ht="12.75" customHeight="1" x14ac:dyDescent="0.2">
      <c r="A26" s="101" t="s">
        <v>808</v>
      </c>
      <c r="B26" s="102" t="s">
        <v>809</v>
      </c>
      <c r="C26" s="118"/>
      <c r="D26" s="124">
        <f t="shared" si="2"/>
        <v>0</v>
      </c>
      <c r="E26" s="112">
        <f t="shared" si="3"/>
        <v>0</v>
      </c>
      <c r="F26" s="135"/>
    </row>
    <row r="27" spans="1:6" ht="12.75" customHeight="1" x14ac:dyDescent="0.2">
      <c r="A27" s="101" t="s">
        <v>934</v>
      </c>
      <c r="B27" s="102" t="s">
        <v>954</v>
      </c>
      <c r="C27" s="118"/>
      <c r="D27" s="124">
        <f t="shared" si="2"/>
        <v>0</v>
      </c>
      <c r="E27" s="112">
        <f t="shared" si="3"/>
        <v>0</v>
      </c>
      <c r="F27" s="135"/>
    </row>
    <row r="28" spans="1:6" ht="12.75" customHeight="1" x14ac:dyDescent="0.2">
      <c r="A28" s="104" t="s">
        <v>810</v>
      </c>
      <c r="B28" s="105" t="s">
        <v>811</v>
      </c>
      <c r="C28" s="118"/>
      <c r="D28" s="124">
        <f t="shared" si="2"/>
        <v>0</v>
      </c>
      <c r="E28" s="112">
        <f t="shared" si="3"/>
        <v>0</v>
      </c>
      <c r="F28" s="135"/>
    </row>
    <row r="29" spans="1:6" ht="12.75" customHeight="1" x14ac:dyDescent="0.2">
      <c r="A29" s="104" t="s">
        <v>1054</v>
      </c>
      <c r="B29" s="105" t="s">
        <v>1066</v>
      </c>
      <c r="C29" s="118">
        <v>-3284.82</v>
      </c>
      <c r="D29" s="124">
        <f t="shared" si="2"/>
        <v>-3284.82</v>
      </c>
      <c r="E29" s="112">
        <f t="shared" si="3"/>
        <v>0</v>
      </c>
      <c r="F29" s="135"/>
    </row>
    <row r="30" spans="1:6" ht="12.75" customHeight="1" x14ac:dyDescent="0.2">
      <c r="A30" s="104" t="s">
        <v>1056</v>
      </c>
      <c r="B30" s="105" t="s">
        <v>1067</v>
      </c>
      <c r="C30" s="118"/>
      <c r="D30" s="124">
        <f t="shared" si="2"/>
        <v>0</v>
      </c>
      <c r="E30" s="112">
        <f t="shared" si="3"/>
        <v>0</v>
      </c>
      <c r="F30" s="135"/>
    </row>
    <row r="31" spans="1:6" ht="12.75" customHeight="1" x14ac:dyDescent="0.2">
      <c r="A31" s="104" t="s">
        <v>1055</v>
      </c>
      <c r="B31" s="105" t="s">
        <v>1068</v>
      </c>
      <c r="C31" s="118"/>
      <c r="D31" s="124">
        <f t="shared" si="2"/>
        <v>0</v>
      </c>
      <c r="E31" s="112">
        <f t="shared" si="3"/>
        <v>0</v>
      </c>
      <c r="F31" s="135"/>
    </row>
    <row r="32" spans="1:6" ht="12.75" customHeight="1" x14ac:dyDescent="0.2">
      <c r="A32" s="104" t="s">
        <v>1065</v>
      </c>
      <c r="B32" s="105" t="s">
        <v>1069</v>
      </c>
      <c r="C32" s="118"/>
      <c r="D32" s="124">
        <f t="shared" si="2"/>
        <v>0</v>
      </c>
      <c r="E32" s="112">
        <f t="shared" si="3"/>
        <v>0</v>
      </c>
      <c r="F32" s="135"/>
    </row>
    <row r="33" spans="1:6" ht="12.75" customHeight="1" thickBot="1" x14ac:dyDescent="0.25">
      <c r="A33" s="106" t="s">
        <v>812</v>
      </c>
      <c r="B33" s="107" t="s">
        <v>813</v>
      </c>
      <c r="C33" s="117"/>
      <c r="D33" s="125">
        <f t="shared" si="2"/>
        <v>0</v>
      </c>
      <c r="E33" s="112">
        <f t="shared" si="3"/>
        <v>0</v>
      </c>
      <c r="F33" s="139"/>
    </row>
    <row r="34" spans="1:6" ht="12.75" customHeight="1" x14ac:dyDescent="0.2">
      <c r="A34" s="108"/>
      <c r="B34" s="109"/>
      <c r="C34" s="119"/>
      <c r="D34" s="119"/>
      <c r="E34" s="113"/>
      <c r="F34" s="140"/>
    </row>
    <row r="35" spans="1:6" ht="12.75" customHeight="1" thickBot="1" x14ac:dyDescent="0.25">
      <c r="A35" s="106"/>
      <c r="B35" s="107"/>
      <c r="C35" s="120"/>
      <c r="D35" s="120"/>
      <c r="E35" s="114"/>
      <c r="F35" s="141"/>
    </row>
    <row r="36" spans="1:6" ht="12.75" customHeight="1" x14ac:dyDescent="0.2">
      <c r="A36" s="98" t="s">
        <v>822</v>
      </c>
      <c r="B36" s="98" t="s">
        <v>823</v>
      </c>
      <c r="C36" s="118"/>
      <c r="D36" s="124">
        <f t="shared" ref="D36:D67" si="4">+C36+E36</f>
        <v>0</v>
      </c>
      <c r="E36" s="112">
        <f t="shared" ref="E36:E99" si="5">SUM(F36:F36)</f>
        <v>0</v>
      </c>
      <c r="F36" s="133"/>
    </row>
    <row r="37" spans="1:6" ht="12.75" customHeight="1" x14ac:dyDescent="0.2">
      <c r="A37" s="98" t="s">
        <v>824</v>
      </c>
      <c r="B37" s="98" t="s">
        <v>956</v>
      </c>
      <c r="C37" s="121">
        <v>-2463.2600000000002</v>
      </c>
      <c r="D37" s="126">
        <f t="shared" si="4"/>
        <v>-2463.2600000000002</v>
      </c>
      <c r="E37" s="112">
        <f t="shared" si="5"/>
        <v>0</v>
      </c>
      <c r="F37" s="135"/>
    </row>
    <row r="38" spans="1:6" ht="12.75" customHeight="1" x14ac:dyDescent="0.2">
      <c r="A38" s="98" t="s">
        <v>825</v>
      </c>
      <c r="B38" s="98" t="s">
        <v>826</v>
      </c>
      <c r="C38" s="121"/>
      <c r="D38" s="126">
        <f t="shared" si="4"/>
        <v>0</v>
      </c>
      <c r="E38" s="112">
        <f t="shared" si="5"/>
        <v>0</v>
      </c>
      <c r="F38" s="135"/>
    </row>
    <row r="39" spans="1:6" ht="12.75" customHeight="1" x14ac:dyDescent="0.2">
      <c r="A39" s="98" t="s">
        <v>827</v>
      </c>
      <c r="B39" s="98" t="s">
        <v>957</v>
      </c>
      <c r="C39" s="121"/>
      <c r="D39" s="126">
        <f t="shared" si="4"/>
        <v>0</v>
      </c>
      <c r="E39" s="112">
        <f t="shared" si="5"/>
        <v>0</v>
      </c>
      <c r="F39" s="135"/>
    </row>
    <row r="40" spans="1:6" ht="12.75" customHeight="1" x14ac:dyDescent="0.2">
      <c r="A40" s="98" t="s">
        <v>828</v>
      </c>
      <c r="B40" s="98" t="s">
        <v>782</v>
      </c>
      <c r="C40" s="121">
        <v>-33</v>
      </c>
      <c r="D40" s="126">
        <f t="shared" si="4"/>
        <v>-33</v>
      </c>
      <c r="E40" s="112">
        <f t="shared" si="5"/>
        <v>0</v>
      </c>
      <c r="F40" s="135"/>
    </row>
    <row r="41" spans="1:6" ht="12.75" customHeight="1" x14ac:dyDescent="0.2">
      <c r="A41" s="101" t="s">
        <v>829</v>
      </c>
      <c r="B41" s="101" t="s">
        <v>830</v>
      </c>
      <c r="C41" s="121"/>
      <c r="D41" s="126">
        <f t="shared" si="4"/>
        <v>0</v>
      </c>
      <c r="E41" s="112">
        <f t="shared" si="5"/>
        <v>0</v>
      </c>
      <c r="F41" s="135"/>
    </row>
    <row r="42" spans="1:6" ht="12.75" customHeight="1" x14ac:dyDescent="0.2">
      <c r="A42" s="101" t="s">
        <v>831</v>
      </c>
      <c r="B42" s="102" t="s">
        <v>832</v>
      </c>
      <c r="C42" s="147">
        <v>-2282.6799999999998</v>
      </c>
      <c r="D42" s="148">
        <f t="shared" si="4"/>
        <v>-2282.6799999999998</v>
      </c>
      <c r="E42" s="112">
        <f t="shared" si="5"/>
        <v>0</v>
      </c>
      <c r="F42" s="135"/>
    </row>
    <row r="43" spans="1:6" ht="12.75" customHeight="1" x14ac:dyDescent="0.2">
      <c r="A43" s="101" t="s">
        <v>833</v>
      </c>
      <c r="B43" s="102" t="s">
        <v>834</v>
      </c>
      <c r="C43" s="121"/>
      <c r="D43" s="126">
        <f t="shared" si="4"/>
        <v>0</v>
      </c>
      <c r="E43" s="112">
        <f t="shared" si="5"/>
        <v>0</v>
      </c>
      <c r="F43" s="135"/>
    </row>
    <row r="44" spans="1:6" ht="12.75" customHeight="1" x14ac:dyDescent="0.2">
      <c r="A44" s="101" t="s">
        <v>835</v>
      </c>
      <c r="B44" s="102" t="s">
        <v>836</v>
      </c>
      <c r="C44" s="121">
        <v>-30</v>
      </c>
      <c r="D44" s="126">
        <f t="shared" si="4"/>
        <v>-30</v>
      </c>
      <c r="E44" s="112">
        <f t="shared" si="5"/>
        <v>0</v>
      </c>
      <c r="F44" s="135"/>
    </row>
    <row r="45" spans="1:6" ht="12.75" customHeight="1" x14ac:dyDescent="0.2">
      <c r="A45" s="101" t="s">
        <v>837</v>
      </c>
      <c r="B45" s="102" t="s">
        <v>838</v>
      </c>
      <c r="C45" s="121"/>
      <c r="D45" s="126">
        <f t="shared" si="4"/>
        <v>0</v>
      </c>
      <c r="E45" s="112">
        <f t="shared" si="5"/>
        <v>0</v>
      </c>
      <c r="F45" s="135"/>
    </row>
    <row r="46" spans="1:6" ht="12.75" customHeight="1" x14ac:dyDescent="0.2">
      <c r="A46" s="101" t="s">
        <v>839</v>
      </c>
      <c r="B46" s="102" t="s">
        <v>5</v>
      </c>
      <c r="C46" s="121"/>
      <c r="D46" s="126">
        <f t="shared" si="4"/>
        <v>0</v>
      </c>
      <c r="E46" s="112">
        <f t="shared" si="5"/>
        <v>0</v>
      </c>
      <c r="F46" s="135"/>
    </row>
    <row r="47" spans="1:6" ht="12.75" customHeight="1" x14ac:dyDescent="0.2">
      <c r="A47" s="101" t="s">
        <v>840</v>
      </c>
      <c r="B47" s="102" t="s">
        <v>6</v>
      </c>
      <c r="C47" s="121"/>
      <c r="D47" s="126">
        <f t="shared" si="4"/>
        <v>0</v>
      </c>
      <c r="E47" s="112">
        <f t="shared" si="5"/>
        <v>0</v>
      </c>
      <c r="F47" s="135"/>
    </row>
    <row r="48" spans="1:6" ht="12.75" customHeight="1" x14ac:dyDescent="0.2">
      <c r="A48" s="101" t="s">
        <v>841</v>
      </c>
      <c r="B48" s="102" t="s">
        <v>92</v>
      </c>
      <c r="C48" s="121"/>
      <c r="D48" s="126">
        <f t="shared" si="4"/>
        <v>0</v>
      </c>
      <c r="E48" s="112">
        <f t="shared" si="5"/>
        <v>0</v>
      </c>
      <c r="F48" s="135"/>
    </row>
    <row r="49" spans="1:6" ht="12.75" customHeight="1" x14ac:dyDescent="0.2">
      <c r="A49" s="101" t="s">
        <v>842</v>
      </c>
      <c r="B49" s="102" t="s">
        <v>843</v>
      </c>
      <c r="C49" s="121">
        <v>-30770</v>
      </c>
      <c r="D49" s="126">
        <f t="shared" si="4"/>
        <v>-30770</v>
      </c>
      <c r="E49" s="112">
        <f t="shared" si="5"/>
        <v>0</v>
      </c>
      <c r="F49" s="135"/>
    </row>
    <row r="50" spans="1:6" ht="12.75" customHeight="1" x14ac:dyDescent="0.2">
      <c r="A50" s="101" t="s">
        <v>950</v>
      </c>
      <c r="B50" s="102" t="s">
        <v>951</v>
      </c>
      <c r="C50" s="121"/>
      <c r="D50" s="126">
        <f t="shared" si="4"/>
        <v>0</v>
      </c>
      <c r="E50" s="112">
        <f t="shared" si="5"/>
        <v>0</v>
      </c>
      <c r="F50" s="135"/>
    </row>
    <row r="51" spans="1:6" ht="12.75" customHeight="1" x14ac:dyDescent="0.2">
      <c r="A51" s="101" t="s">
        <v>844</v>
      </c>
      <c r="B51" s="102" t="s">
        <v>845</v>
      </c>
      <c r="C51" s="121"/>
      <c r="D51" s="126">
        <f t="shared" si="4"/>
        <v>0</v>
      </c>
      <c r="E51" s="112">
        <f t="shared" si="5"/>
        <v>0</v>
      </c>
      <c r="F51" s="135"/>
    </row>
    <row r="52" spans="1:6" ht="12.75" customHeight="1" x14ac:dyDescent="0.2">
      <c r="A52" s="101" t="s">
        <v>846</v>
      </c>
      <c r="B52" s="102" t="s">
        <v>847</v>
      </c>
      <c r="C52" s="121"/>
      <c r="D52" s="126">
        <f t="shared" si="4"/>
        <v>0</v>
      </c>
      <c r="E52" s="112">
        <f t="shared" si="5"/>
        <v>0</v>
      </c>
      <c r="F52" s="135"/>
    </row>
    <row r="53" spans="1:6" ht="12.75" customHeight="1" x14ac:dyDescent="0.2">
      <c r="A53" s="101" t="s">
        <v>848</v>
      </c>
      <c r="B53" s="102" t="s">
        <v>849</v>
      </c>
      <c r="C53" s="121"/>
      <c r="D53" s="126">
        <f t="shared" si="4"/>
        <v>0</v>
      </c>
      <c r="E53" s="112">
        <f t="shared" si="5"/>
        <v>0</v>
      </c>
      <c r="F53" s="135"/>
    </row>
    <row r="54" spans="1:6" ht="12.75" customHeight="1" x14ac:dyDescent="0.2">
      <c r="A54" s="103" t="s">
        <v>965</v>
      </c>
      <c r="B54" s="103" t="s">
        <v>977</v>
      </c>
      <c r="C54" s="121"/>
      <c r="D54" s="126">
        <f t="shared" si="4"/>
        <v>0</v>
      </c>
      <c r="E54" s="112">
        <f t="shared" si="5"/>
        <v>0</v>
      </c>
      <c r="F54" s="135"/>
    </row>
    <row r="55" spans="1:6" ht="12.75" customHeight="1" x14ac:dyDescent="0.2">
      <c r="A55" s="103" t="s">
        <v>966</v>
      </c>
      <c r="B55" s="103" t="s">
        <v>978</v>
      </c>
      <c r="C55" s="121"/>
      <c r="D55" s="126">
        <f t="shared" si="4"/>
        <v>0</v>
      </c>
      <c r="E55" s="112">
        <f t="shared" si="5"/>
        <v>0</v>
      </c>
      <c r="F55" s="135"/>
    </row>
    <row r="56" spans="1:6" ht="12.75" customHeight="1" x14ac:dyDescent="0.2">
      <c r="A56" s="103" t="s">
        <v>967</v>
      </c>
      <c r="B56" s="103" t="s">
        <v>979</v>
      </c>
      <c r="C56" s="121"/>
      <c r="D56" s="126">
        <f t="shared" si="4"/>
        <v>0</v>
      </c>
      <c r="E56" s="112">
        <f t="shared" si="5"/>
        <v>0</v>
      </c>
      <c r="F56" s="135"/>
    </row>
    <row r="57" spans="1:6" ht="12.75" customHeight="1" x14ac:dyDescent="0.2">
      <c r="A57" s="103" t="s">
        <v>1002</v>
      </c>
      <c r="B57" s="103" t="s">
        <v>1003</v>
      </c>
      <c r="C57" s="121"/>
      <c r="D57" s="126">
        <f t="shared" si="4"/>
        <v>0</v>
      </c>
      <c r="E57" s="112">
        <f t="shared" si="5"/>
        <v>0</v>
      </c>
      <c r="F57" s="135"/>
    </row>
    <row r="58" spans="1:6" ht="12.75" customHeight="1" x14ac:dyDescent="0.2">
      <c r="A58" s="101" t="s">
        <v>850</v>
      </c>
      <c r="B58" s="102" t="s">
        <v>958</v>
      </c>
      <c r="C58" s="149">
        <v>5906.25</v>
      </c>
      <c r="D58" s="150">
        <f t="shared" si="4"/>
        <v>7087.5</v>
      </c>
      <c r="E58" s="112">
        <f t="shared" si="5"/>
        <v>1181.25</v>
      </c>
      <c r="F58" s="135">
        <v>1181.25</v>
      </c>
    </row>
    <row r="59" spans="1:6" ht="12.75" customHeight="1" x14ac:dyDescent="0.2">
      <c r="A59" s="101" t="s">
        <v>851</v>
      </c>
      <c r="B59" s="102" t="s">
        <v>852</v>
      </c>
      <c r="C59" s="149"/>
      <c r="D59" s="150">
        <f t="shared" si="4"/>
        <v>0</v>
      </c>
      <c r="E59" s="112">
        <f t="shared" si="5"/>
        <v>0</v>
      </c>
      <c r="F59" s="135"/>
    </row>
    <row r="60" spans="1:6" ht="12.75" customHeight="1" x14ac:dyDescent="0.2">
      <c r="A60" s="101" t="s">
        <v>853</v>
      </c>
      <c r="B60" s="102" t="s">
        <v>854</v>
      </c>
      <c r="C60" s="149"/>
      <c r="D60" s="150">
        <f t="shared" si="4"/>
        <v>0</v>
      </c>
      <c r="E60" s="112">
        <f t="shared" si="5"/>
        <v>0</v>
      </c>
      <c r="F60" s="135"/>
    </row>
    <row r="61" spans="1:6" ht="12.75" customHeight="1" x14ac:dyDescent="0.2">
      <c r="A61" s="101" t="s">
        <v>855</v>
      </c>
      <c r="B61" s="102" t="s">
        <v>856</v>
      </c>
      <c r="C61" s="149"/>
      <c r="D61" s="150">
        <f t="shared" si="4"/>
        <v>0</v>
      </c>
      <c r="E61" s="112">
        <f t="shared" si="5"/>
        <v>0</v>
      </c>
      <c r="F61" s="135"/>
    </row>
    <row r="62" spans="1:6" ht="12.75" customHeight="1" x14ac:dyDescent="0.2">
      <c r="A62" s="101" t="s">
        <v>857</v>
      </c>
      <c r="B62" s="102" t="s">
        <v>858</v>
      </c>
      <c r="C62" s="149">
        <v>2794.25</v>
      </c>
      <c r="D62" s="150">
        <f t="shared" si="4"/>
        <v>2794.25</v>
      </c>
      <c r="E62" s="112">
        <f t="shared" si="5"/>
        <v>0</v>
      </c>
      <c r="F62" s="135"/>
    </row>
    <row r="63" spans="1:6" ht="12.75" customHeight="1" x14ac:dyDescent="0.2">
      <c r="A63" s="101" t="s">
        <v>702</v>
      </c>
      <c r="B63" s="102" t="s">
        <v>959</v>
      </c>
      <c r="C63" s="149">
        <v>3975.59</v>
      </c>
      <c r="D63" s="150">
        <f t="shared" si="4"/>
        <v>3975.59</v>
      </c>
      <c r="E63" s="112">
        <f t="shared" si="5"/>
        <v>0</v>
      </c>
      <c r="F63" s="135"/>
    </row>
    <row r="64" spans="1:6" ht="12.75" customHeight="1" x14ac:dyDescent="0.2">
      <c r="A64" s="101" t="s">
        <v>859</v>
      </c>
      <c r="B64" s="102" t="s">
        <v>860</v>
      </c>
      <c r="C64" s="149">
        <v>2392.3000000000002</v>
      </c>
      <c r="D64" s="150">
        <f t="shared" si="4"/>
        <v>2410.17</v>
      </c>
      <c r="E64" s="112">
        <f t="shared" si="5"/>
        <v>17.87</v>
      </c>
      <c r="F64" s="135">
        <v>17.87</v>
      </c>
    </row>
    <row r="65" spans="1:6" ht="12.75" customHeight="1" x14ac:dyDescent="0.2">
      <c r="A65" s="101" t="s">
        <v>861</v>
      </c>
      <c r="B65" s="102" t="s">
        <v>862</v>
      </c>
      <c r="C65" s="149">
        <v>1503.5</v>
      </c>
      <c r="D65" s="150">
        <f t="shared" si="4"/>
        <v>1503.5</v>
      </c>
      <c r="E65" s="112">
        <f t="shared" si="5"/>
        <v>0</v>
      </c>
      <c r="F65" s="135"/>
    </row>
    <row r="66" spans="1:6" ht="12.75" customHeight="1" x14ac:dyDescent="0.2">
      <c r="A66" s="101" t="s">
        <v>863</v>
      </c>
      <c r="B66" s="102" t="s">
        <v>864</v>
      </c>
      <c r="C66" s="149"/>
      <c r="D66" s="150">
        <f t="shared" si="4"/>
        <v>0</v>
      </c>
      <c r="E66" s="112">
        <f t="shared" si="5"/>
        <v>0</v>
      </c>
      <c r="F66" s="135"/>
    </row>
    <row r="67" spans="1:6" ht="12.75" customHeight="1" x14ac:dyDescent="0.2">
      <c r="A67" s="101" t="s">
        <v>865</v>
      </c>
      <c r="B67" s="102" t="s">
        <v>866</v>
      </c>
      <c r="C67" s="149"/>
      <c r="D67" s="150">
        <f t="shared" si="4"/>
        <v>0</v>
      </c>
      <c r="E67" s="112">
        <f t="shared" si="5"/>
        <v>0</v>
      </c>
      <c r="F67" s="135"/>
    </row>
    <row r="68" spans="1:6" ht="12.75" customHeight="1" x14ac:dyDescent="0.2">
      <c r="A68" s="101" t="s">
        <v>867</v>
      </c>
      <c r="B68" s="102" t="s">
        <v>868</v>
      </c>
      <c r="C68" s="149"/>
      <c r="D68" s="150">
        <f t="shared" ref="D68:D99" si="6">+C68+E68</f>
        <v>0</v>
      </c>
      <c r="E68" s="112">
        <f t="shared" si="5"/>
        <v>0</v>
      </c>
      <c r="F68" s="135"/>
    </row>
    <row r="69" spans="1:6" ht="12.75" customHeight="1" x14ac:dyDescent="0.2">
      <c r="A69" s="101" t="s">
        <v>869</v>
      </c>
      <c r="B69" s="102" t="s">
        <v>870</v>
      </c>
      <c r="C69" s="149"/>
      <c r="D69" s="150">
        <f t="shared" si="6"/>
        <v>0</v>
      </c>
      <c r="E69" s="112">
        <f t="shared" si="5"/>
        <v>0</v>
      </c>
      <c r="F69" s="135"/>
    </row>
    <row r="70" spans="1:6" ht="12.75" customHeight="1" x14ac:dyDescent="0.2">
      <c r="A70" s="101" t="s">
        <v>871</v>
      </c>
      <c r="B70" s="102" t="s">
        <v>870</v>
      </c>
      <c r="C70" s="149"/>
      <c r="D70" s="150">
        <f t="shared" si="6"/>
        <v>0</v>
      </c>
      <c r="E70" s="112">
        <f t="shared" si="5"/>
        <v>0</v>
      </c>
      <c r="F70" s="135"/>
    </row>
    <row r="71" spans="1:6" ht="12.75" customHeight="1" x14ac:dyDescent="0.2">
      <c r="A71" s="101" t="s">
        <v>872</v>
      </c>
      <c r="B71" s="102" t="s">
        <v>873</v>
      </c>
      <c r="C71" s="149"/>
      <c r="D71" s="150">
        <f t="shared" si="6"/>
        <v>0</v>
      </c>
      <c r="E71" s="112">
        <f t="shared" si="5"/>
        <v>0</v>
      </c>
      <c r="F71" s="135"/>
    </row>
    <row r="72" spans="1:6" ht="12.75" customHeight="1" x14ac:dyDescent="0.2">
      <c r="A72" s="101" t="s">
        <v>874</v>
      </c>
      <c r="B72" s="102" t="s">
        <v>875</v>
      </c>
      <c r="C72" s="149"/>
      <c r="D72" s="150">
        <f t="shared" si="6"/>
        <v>0</v>
      </c>
      <c r="E72" s="112">
        <f t="shared" si="5"/>
        <v>0</v>
      </c>
      <c r="F72" s="135"/>
    </row>
    <row r="73" spans="1:6" ht="12.75" customHeight="1" x14ac:dyDescent="0.2">
      <c r="A73" s="101" t="s">
        <v>924</v>
      </c>
      <c r="B73" s="102" t="s">
        <v>925</v>
      </c>
      <c r="C73" s="149">
        <v>108.24</v>
      </c>
      <c r="D73" s="150">
        <f t="shared" si="6"/>
        <v>108.24</v>
      </c>
      <c r="E73" s="112">
        <f t="shared" si="5"/>
        <v>0</v>
      </c>
      <c r="F73" s="135"/>
    </row>
    <row r="74" spans="1:6" ht="12.75" customHeight="1" x14ac:dyDescent="0.2">
      <c r="A74" s="101" t="s">
        <v>876</v>
      </c>
      <c r="B74" s="102" t="s">
        <v>877</v>
      </c>
      <c r="C74" s="149"/>
      <c r="D74" s="150">
        <f t="shared" si="6"/>
        <v>0</v>
      </c>
      <c r="E74" s="112">
        <f t="shared" si="5"/>
        <v>0</v>
      </c>
      <c r="F74" s="135"/>
    </row>
    <row r="75" spans="1:6" ht="12.75" customHeight="1" x14ac:dyDescent="0.2">
      <c r="A75" s="101" t="s">
        <v>878</v>
      </c>
      <c r="B75" s="102" t="s">
        <v>5</v>
      </c>
      <c r="C75" s="149">
        <v>450</v>
      </c>
      <c r="D75" s="150">
        <f t="shared" si="6"/>
        <v>450</v>
      </c>
      <c r="E75" s="112">
        <f t="shared" si="5"/>
        <v>0</v>
      </c>
      <c r="F75" s="135"/>
    </row>
    <row r="76" spans="1:6" ht="12.75" customHeight="1" x14ac:dyDescent="0.2">
      <c r="A76" s="101" t="s">
        <v>879</v>
      </c>
      <c r="B76" s="102" t="s">
        <v>880</v>
      </c>
      <c r="C76" s="149"/>
      <c r="D76" s="150">
        <f t="shared" si="6"/>
        <v>0</v>
      </c>
      <c r="E76" s="112">
        <f t="shared" si="5"/>
        <v>0</v>
      </c>
      <c r="F76" s="135"/>
    </row>
    <row r="77" spans="1:6" ht="12.75" customHeight="1" x14ac:dyDescent="0.2">
      <c r="A77" s="101" t="s">
        <v>952</v>
      </c>
      <c r="B77" s="102" t="s">
        <v>953</v>
      </c>
      <c r="C77" s="121"/>
      <c r="D77" s="126">
        <f t="shared" si="6"/>
        <v>0</v>
      </c>
      <c r="E77" s="112">
        <f t="shared" si="5"/>
        <v>0</v>
      </c>
      <c r="F77" s="135"/>
    </row>
    <row r="78" spans="1:6" ht="12.75" customHeight="1" x14ac:dyDescent="0.2">
      <c r="A78" s="101" t="s">
        <v>963</v>
      </c>
      <c r="B78" s="102" t="s">
        <v>962</v>
      </c>
      <c r="C78" s="149">
        <v>19022</v>
      </c>
      <c r="D78" s="150">
        <f t="shared" si="6"/>
        <v>19022</v>
      </c>
      <c r="E78" s="112">
        <f t="shared" si="5"/>
        <v>0</v>
      </c>
      <c r="F78" s="135"/>
    </row>
    <row r="79" spans="1:6" ht="12.75" customHeight="1" x14ac:dyDescent="0.2">
      <c r="A79" s="101" t="s">
        <v>881</v>
      </c>
      <c r="B79" s="102" t="s">
        <v>730</v>
      </c>
      <c r="C79" s="149">
        <v>219.28</v>
      </c>
      <c r="D79" s="150">
        <f t="shared" si="6"/>
        <v>263.14</v>
      </c>
      <c r="E79" s="112">
        <f t="shared" si="5"/>
        <v>43.86</v>
      </c>
      <c r="F79" s="135">
        <v>43.86</v>
      </c>
    </row>
    <row r="80" spans="1:6" ht="12.75" customHeight="1" x14ac:dyDescent="0.2">
      <c r="A80" s="101" t="s">
        <v>882</v>
      </c>
      <c r="B80" s="102" t="s">
        <v>883</v>
      </c>
      <c r="C80" s="149"/>
      <c r="D80" s="150">
        <f t="shared" si="6"/>
        <v>0</v>
      </c>
      <c r="E80" s="112">
        <f t="shared" si="5"/>
        <v>0</v>
      </c>
      <c r="F80" s="135"/>
    </row>
    <row r="81" spans="1:6" ht="12.75" customHeight="1" x14ac:dyDescent="0.2">
      <c r="A81" s="101" t="s">
        <v>914</v>
      </c>
      <c r="B81" s="102" t="s">
        <v>916</v>
      </c>
      <c r="C81" s="149"/>
      <c r="D81" s="150">
        <f t="shared" si="6"/>
        <v>0</v>
      </c>
      <c r="E81" s="112">
        <f t="shared" si="5"/>
        <v>0</v>
      </c>
      <c r="F81" s="135"/>
    </row>
    <row r="82" spans="1:6" ht="12.75" customHeight="1" x14ac:dyDescent="0.2">
      <c r="A82" s="101" t="s">
        <v>915</v>
      </c>
      <c r="B82" s="102" t="s">
        <v>917</v>
      </c>
      <c r="C82" s="149"/>
      <c r="D82" s="150">
        <f t="shared" si="6"/>
        <v>0</v>
      </c>
      <c r="E82" s="112">
        <f t="shared" si="5"/>
        <v>0</v>
      </c>
      <c r="F82" s="135"/>
    </row>
    <row r="83" spans="1:6" ht="12.75" customHeight="1" x14ac:dyDescent="0.2">
      <c r="A83" s="101" t="s">
        <v>921</v>
      </c>
      <c r="B83" s="102" t="s">
        <v>922</v>
      </c>
      <c r="C83" s="149"/>
      <c r="D83" s="150">
        <f t="shared" si="6"/>
        <v>0</v>
      </c>
      <c r="E83" s="112">
        <f t="shared" si="5"/>
        <v>0</v>
      </c>
      <c r="F83" s="135"/>
    </row>
    <row r="84" spans="1:6" ht="12.75" customHeight="1" x14ac:dyDescent="0.2">
      <c r="A84" s="101" t="s">
        <v>700</v>
      </c>
      <c r="B84" s="102" t="s">
        <v>884</v>
      </c>
      <c r="C84" s="149">
        <v>78</v>
      </c>
      <c r="D84" s="150">
        <f t="shared" si="6"/>
        <v>78</v>
      </c>
      <c r="E84" s="112">
        <f t="shared" si="5"/>
        <v>0</v>
      </c>
      <c r="F84" s="135"/>
    </row>
    <row r="85" spans="1:6" ht="12.75" customHeight="1" x14ac:dyDescent="0.2">
      <c r="A85" s="101" t="s">
        <v>601</v>
      </c>
      <c r="B85" s="102" t="s">
        <v>885</v>
      </c>
      <c r="C85" s="149"/>
      <c r="D85" s="150">
        <f t="shared" si="6"/>
        <v>0</v>
      </c>
      <c r="E85" s="112">
        <f t="shared" si="5"/>
        <v>0</v>
      </c>
      <c r="F85" s="135"/>
    </row>
    <row r="86" spans="1:6" ht="12.75" customHeight="1" x14ac:dyDescent="0.2">
      <c r="A86" s="101" t="s">
        <v>886</v>
      </c>
      <c r="B86" s="102" t="s">
        <v>887</v>
      </c>
      <c r="C86" s="149"/>
      <c r="D86" s="150">
        <f t="shared" si="6"/>
        <v>0</v>
      </c>
      <c r="E86" s="112">
        <f t="shared" si="5"/>
        <v>0</v>
      </c>
      <c r="F86" s="135"/>
    </row>
    <row r="87" spans="1:6" ht="12.75" customHeight="1" x14ac:dyDescent="0.2">
      <c r="A87" s="101" t="s">
        <v>1057</v>
      </c>
      <c r="B87" s="102" t="s">
        <v>1070</v>
      </c>
      <c r="C87" s="149"/>
      <c r="D87" s="150">
        <f t="shared" si="6"/>
        <v>0</v>
      </c>
      <c r="E87" s="112">
        <f t="shared" si="5"/>
        <v>0</v>
      </c>
      <c r="F87" s="135"/>
    </row>
    <row r="88" spans="1:6" ht="12.75" customHeight="1" x14ac:dyDescent="0.2">
      <c r="A88" s="101" t="s">
        <v>282</v>
      </c>
      <c r="B88" s="102" t="s">
        <v>888</v>
      </c>
      <c r="C88" s="149"/>
      <c r="D88" s="150">
        <f t="shared" si="6"/>
        <v>0</v>
      </c>
      <c r="E88" s="112">
        <f t="shared" si="5"/>
        <v>0</v>
      </c>
      <c r="F88" s="135"/>
    </row>
    <row r="89" spans="1:6" ht="12.75" customHeight="1" x14ac:dyDescent="0.2">
      <c r="A89" s="101" t="s">
        <v>889</v>
      </c>
      <c r="B89" s="102" t="s">
        <v>890</v>
      </c>
      <c r="C89" s="149">
        <v>325</v>
      </c>
      <c r="D89" s="150">
        <f t="shared" si="6"/>
        <v>325</v>
      </c>
      <c r="E89" s="112">
        <f t="shared" si="5"/>
        <v>0</v>
      </c>
      <c r="F89" s="135"/>
    </row>
    <row r="90" spans="1:6" ht="12.75" customHeight="1" x14ac:dyDescent="0.2">
      <c r="A90" s="98" t="s">
        <v>891</v>
      </c>
      <c r="B90" s="102" t="s">
        <v>892</v>
      </c>
      <c r="C90" s="149">
        <v>70.09</v>
      </c>
      <c r="D90" s="150">
        <f t="shared" si="6"/>
        <v>70.09</v>
      </c>
      <c r="E90" s="112">
        <f t="shared" si="5"/>
        <v>0</v>
      </c>
      <c r="F90" s="135"/>
    </row>
    <row r="91" spans="1:6" ht="12.75" customHeight="1" x14ac:dyDescent="0.2">
      <c r="A91" s="101" t="s">
        <v>704</v>
      </c>
      <c r="B91" s="102" t="s">
        <v>893</v>
      </c>
      <c r="C91" s="149"/>
      <c r="D91" s="150">
        <f t="shared" si="6"/>
        <v>0</v>
      </c>
      <c r="E91" s="112">
        <f t="shared" si="5"/>
        <v>0</v>
      </c>
      <c r="F91" s="135"/>
    </row>
    <row r="92" spans="1:6" ht="12.75" customHeight="1" x14ac:dyDescent="0.2">
      <c r="A92" s="101" t="s">
        <v>894</v>
      </c>
      <c r="B92" s="102" t="s">
        <v>3</v>
      </c>
      <c r="C92" s="149"/>
      <c r="D92" s="150">
        <f t="shared" si="6"/>
        <v>0</v>
      </c>
      <c r="E92" s="112">
        <f t="shared" si="5"/>
        <v>0</v>
      </c>
      <c r="F92" s="135"/>
    </row>
    <row r="93" spans="1:6" ht="12.75" customHeight="1" x14ac:dyDescent="0.2">
      <c r="A93" s="101" t="s">
        <v>895</v>
      </c>
      <c r="B93" s="102" t="s">
        <v>896</v>
      </c>
      <c r="C93" s="149"/>
      <c r="D93" s="150">
        <f t="shared" si="6"/>
        <v>0</v>
      </c>
      <c r="E93" s="112">
        <f t="shared" si="5"/>
        <v>0</v>
      </c>
      <c r="F93" s="135"/>
    </row>
    <row r="94" spans="1:6" ht="12.75" customHeight="1" x14ac:dyDescent="0.2">
      <c r="A94" s="101" t="s">
        <v>897</v>
      </c>
      <c r="B94" s="102" t="s">
        <v>92</v>
      </c>
      <c r="C94" s="149"/>
      <c r="D94" s="150">
        <f t="shared" si="6"/>
        <v>0</v>
      </c>
      <c r="E94" s="112">
        <f t="shared" si="5"/>
        <v>0</v>
      </c>
      <c r="F94" s="135"/>
    </row>
    <row r="95" spans="1:6" ht="12.75" customHeight="1" x14ac:dyDescent="0.2">
      <c r="A95" s="101" t="s">
        <v>291</v>
      </c>
      <c r="B95" s="102" t="s">
        <v>14</v>
      </c>
      <c r="C95" s="149"/>
      <c r="D95" s="150">
        <f t="shared" si="6"/>
        <v>0</v>
      </c>
      <c r="E95" s="112">
        <f t="shared" si="5"/>
        <v>0</v>
      </c>
      <c r="F95" s="135"/>
    </row>
    <row r="96" spans="1:6" ht="12.75" customHeight="1" x14ac:dyDescent="0.2">
      <c r="A96" s="101" t="s">
        <v>898</v>
      </c>
      <c r="B96" s="102" t="s">
        <v>960</v>
      </c>
      <c r="C96" s="149">
        <v>5246.45</v>
      </c>
      <c r="D96" s="150">
        <f t="shared" si="6"/>
        <v>5246.45</v>
      </c>
      <c r="E96" s="112">
        <f t="shared" si="5"/>
        <v>0</v>
      </c>
      <c r="F96" s="135"/>
    </row>
    <row r="97" spans="1:6" ht="12.75" customHeight="1" x14ac:dyDescent="0.2">
      <c r="A97" s="101" t="s">
        <v>372</v>
      </c>
      <c r="B97" s="102" t="s">
        <v>164</v>
      </c>
      <c r="C97" s="149"/>
      <c r="D97" s="150">
        <f t="shared" si="6"/>
        <v>0</v>
      </c>
      <c r="E97" s="112">
        <f t="shared" si="5"/>
        <v>0</v>
      </c>
      <c r="F97" s="135"/>
    </row>
    <row r="98" spans="1:6" ht="12.75" customHeight="1" x14ac:dyDescent="0.2">
      <c r="A98" s="101" t="s">
        <v>899</v>
      </c>
      <c r="B98" s="102" t="s">
        <v>15</v>
      </c>
      <c r="C98" s="149">
        <v>296.79000000000002</v>
      </c>
      <c r="D98" s="150">
        <f t="shared" si="6"/>
        <v>346.79</v>
      </c>
      <c r="E98" s="112">
        <f t="shared" si="5"/>
        <v>50</v>
      </c>
      <c r="F98" s="135">
        <v>50</v>
      </c>
    </row>
    <row r="99" spans="1:6" ht="12.75" customHeight="1" x14ac:dyDescent="0.2">
      <c r="A99" s="101" t="s">
        <v>900</v>
      </c>
      <c r="B99" s="102" t="s">
        <v>973</v>
      </c>
      <c r="C99" s="149"/>
      <c r="D99" s="150">
        <f t="shared" si="6"/>
        <v>0</v>
      </c>
      <c r="E99" s="112">
        <f t="shared" si="5"/>
        <v>0</v>
      </c>
      <c r="F99" s="135"/>
    </row>
    <row r="100" spans="1:6" ht="12.75" customHeight="1" x14ac:dyDescent="0.2">
      <c r="A100" s="103" t="s">
        <v>968</v>
      </c>
      <c r="B100" s="98" t="s">
        <v>980</v>
      </c>
      <c r="C100" s="149"/>
      <c r="D100" s="150">
        <f t="shared" ref="D100:D116" si="7">+C100+E100</f>
        <v>0</v>
      </c>
      <c r="E100" s="112">
        <f t="shared" ref="E100:E116" si="8">SUM(F100:F100)</f>
        <v>0</v>
      </c>
      <c r="F100" s="135"/>
    </row>
    <row r="101" spans="1:6" ht="12.75" customHeight="1" x14ac:dyDescent="0.2">
      <c r="A101" s="103" t="s">
        <v>969</v>
      </c>
      <c r="B101" s="98" t="s">
        <v>981</v>
      </c>
      <c r="C101" s="149"/>
      <c r="D101" s="150">
        <f t="shared" si="7"/>
        <v>0</v>
      </c>
      <c r="E101" s="112">
        <f t="shared" si="8"/>
        <v>0</v>
      </c>
      <c r="F101" s="135"/>
    </row>
    <row r="102" spans="1:6" ht="12.75" customHeight="1" x14ac:dyDescent="0.2">
      <c r="A102" s="103" t="s">
        <v>970</v>
      </c>
      <c r="B102" s="98" t="s">
        <v>982</v>
      </c>
      <c r="C102" s="149"/>
      <c r="D102" s="150">
        <f t="shared" si="7"/>
        <v>0</v>
      </c>
      <c r="E102" s="112">
        <f t="shared" si="8"/>
        <v>0</v>
      </c>
      <c r="F102" s="135"/>
    </row>
    <row r="103" spans="1:6" ht="12.75" customHeight="1" x14ac:dyDescent="0.2">
      <c r="A103" s="103" t="s">
        <v>971</v>
      </c>
      <c r="B103" s="98" t="s">
        <v>983</v>
      </c>
      <c r="C103" s="149"/>
      <c r="D103" s="150">
        <f t="shared" si="7"/>
        <v>0</v>
      </c>
      <c r="E103" s="112">
        <f t="shared" si="8"/>
        <v>0</v>
      </c>
      <c r="F103" s="135"/>
    </row>
    <row r="104" spans="1:6" ht="12.75" customHeight="1" x14ac:dyDescent="0.2">
      <c r="A104" s="103" t="s">
        <v>974</v>
      </c>
      <c r="B104" s="98" t="s">
        <v>984</v>
      </c>
      <c r="C104" s="149"/>
      <c r="D104" s="150">
        <f t="shared" si="7"/>
        <v>0</v>
      </c>
      <c r="E104" s="112">
        <f t="shared" si="8"/>
        <v>0</v>
      </c>
      <c r="F104" s="135"/>
    </row>
    <row r="105" spans="1:6" ht="12.75" customHeight="1" x14ac:dyDescent="0.2">
      <c r="A105" s="103" t="s">
        <v>972</v>
      </c>
      <c r="B105" s="98" t="s">
        <v>985</v>
      </c>
      <c r="C105" s="149"/>
      <c r="D105" s="150">
        <f t="shared" si="7"/>
        <v>0</v>
      </c>
      <c r="E105" s="112">
        <f t="shared" si="8"/>
        <v>0</v>
      </c>
      <c r="F105" s="135"/>
    </row>
    <row r="106" spans="1:6" ht="12.75" customHeight="1" x14ac:dyDescent="0.2">
      <c r="A106" s="103" t="s">
        <v>1005</v>
      </c>
      <c r="B106" s="98" t="s">
        <v>1006</v>
      </c>
      <c r="C106" s="149"/>
      <c r="D106" s="150">
        <f t="shared" si="7"/>
        <v>0</v>
      </c>
      <c r="E106" s="112">
        <f t="shared" si="8"/>
        <v>0</v>
      </c>
      <c r="F106" s="135"/>
    </row>
    <row r="107" spans="1:6" ht="12.75" customHeight="1" x14ac:dyDescent="0.2">
      <c r="A107" s="103" t="s">
        <v>1004</v>
      </c>
      <c r="B107" s="98" t="s">
        <v>1003</v>
      </c>
      <c r="C107" s="149"/>
      <c r="D107" s="150">
        <f t="shared" si="7"/>
        <v>0</v>
      </c>
      <c r="E107" s="112">
        <f t="shared" si="8"/>
        <v>0</v>
      </c>
      <c r="F107" s="135"/>
    </row>
    <row r="108" spans="1:6" ht="12.75" customHeight="1" x14ac:dyDescent="0.2">
      <c r="A108" s="101" t="s">
        <v>901</v>
      </c>
      <c r="B108" s="102" t="s">
        <v>902</v>
      </c>
      <c r="C108" s="149"/>
      <c r="D108" s="150">
        <f t="shared" si="7"/>
        <v>0</v>
      </c>
      <c r="E108" s="112">
        <f t="shared" si="8"/>
        <v>0</v>
      </c>
      <c r="F108" s="135"/>
    </row>
    <row r="109" spans="1:6" ht="12.75" customHeight="1" x14ac:dyDescent="0.2">
      <c r="A109" s="101" t="s">
        <v>903</v>
      </c>
      <c r="B109" s="102" t="s">
        <v>739</v>
      </c>
      <c r="C109" s="149">
        <v>368.2</v>
      </c>
      <c r="D109" s="150">
        <f t="shared" si="7"/>
        <v>368.2</v>
      </c>
      <c r="E109" s="112">
        <f t="shared" si="8"/>
        <v>0</v>
      </c>
      <c r="F109" s="135"/>
    </row>
    <row r="110" spans="1:6" ht="12.75" customHeight="1" x14ac:dyDescent="0.2">
      <c r="A110" s="104" t="s">
        <v>918</v>
      </c>
      <c r="B110" s="105" t="s">
        <v>961</v>
      </c>
      <c r="C110" s="149"/>
      <c r="D110" s="150">
        <f t="shared" si="7"/>
        <v>0</v>
      </c>
      <c r="E110" s="112">
        <f t="shared" si="8"/>
        <v>0</v>
      </c>
      <c r="F110" s="135"/>
    </row>
    <row r="111" spans="1:6" ht="12.75" customHeight="1" x14ac:dyDescent="0.2">
      <c r="A111" s="104" t="s">
        <v>904</v>
      </c>
      <c r="B111" s="105" t="s">
        <v>905</v>
      </c>
      <c r="C111" s="149">
        <v>3375</v>
      </c>
      <c r="D111" s="150">
        <f t="shared" si="7"/>
        <v>3375</v>
      </c>
      <c r="E111" s="112">
        <f t="shared" si="8"/>
        <v>0</v>
      </c>
      <c r="F111" s="135"/>
    </row>
    <row r="112" spans="1:6" ht="12.75" customHeight="1" x14ac:dyDescent="0.2">
      <c r="A112" s="104" t="s">
        <v>906</v>
      </c>
      <c r="B112" s="105" t="s">
        <v>907</v>
      </c>
      <c r="C112" s="149">
        <v>5459.5</v>
      </c>
      <c r="D112" s="150">
        <f t="shared" si="7"/>
        <v>5459.5</v>
      </c>
      <c r="E112" s="112">
        <f t="shared" si="8"/>
        <v>0</v>
      </c>
      <c r="F112" s="135"/>
    </row>
    <row r="113" spans="1:6" ht="12.75" customHeight="1" x14ac:dyDescent="0.2">
      <c r="A113" s="104" t="s">
        <v>908</v>
      </c>
      <c r="B113" s="105" t="s">
        <v>909</v>
      </c>
      <c r="C113" s="149">
        <v>2224.66</v>
      </c>
      <c r="D113" s="150">
        <f t="shared" si="7"/>
        <v>2224.66</v>
      </c>
      <c r="E113" s="112">
        <f t="shared" si="8"/>
        <v>0</v>
      </c>
      <c r="F113" s="135"/>
    </row>
    <row r="114" spans="1:6" ht="12.75" customHeight="1" x14ac:dyDescent="0.2">
      <c r="A114" s="104" t="s">
        <v>910</v>
      </c>
      <c r="B114" s="105" t="s">
        <v>911</v>
      </c>
      <c r="C114" s="149"/>
      <c r="D114" s="150">
        <f t="shared" si="7"/>
        <v>0</v>
      </c>
      <c r="E114" s="112">
        <f t="shared" si="8"/>
        <v>0</v>
      </c>
      <c r="F114" s="135"/>
    </row>
    <row r="115" spans="1:6" ht="12.75" customHeight="1" x14ac:dyDescent="0.2">
      <c r="A115" s="104" t="s">
        <v>912</v>
      </c>
      <c r="B115" s="105" t="s">
        <v>821</v>
      </c>
      <c r="C115" s="149"/>
      <c r="D115" s="150">
        <f t="shared" si="7"/>
        <v>0</v>
      </c>
      <c r="E115" s="112">
        <f t="shared" si="8"/>
        <v>0</v>
      </c>
      <c r="F115" s="135"/>
    </row>
    <row r="116" spans="1:6" ht="12.75" customHeight="1" thickBot="1" x14ac:dyDescent="0.25">
      <c r="A116" s="106" t="s">
        <v>919</v>
      </c>
      <c r="B116" s="107" t="s">
        <v>920</v>
      </c>
      <c r="C116" s="151"/>
      <c r="D116" s="152">
        <f t="shared" si="7"/>
        <v>0</v>
      </c>
      <c r="E116" s="112">
        <f t="shared" si="8"/>
        <v>0</v>
      </c>
      <c r="F116" s="139"/>
    </row>
    <row r="117" spans="1:6" ht="11.1" customHeight="1" x14ac:dyDescent="0.2">
      <c r="C117" s="122"/>
      <c r="D117" s="122"/>
      <c r="E117" s="110"/>
    </row>
    <row r="118" spans="1:6" ht="11.1" customHeight="1" x14ac:dyDescent="0.2">
      <c r="C118" s="122"/>
      <c r="D118" s="122">
        <f>SUM(D36:D116)</f>
        <v>19529.140000000003</v>
      </c>
      <c r="E118" s="111"/>
      <c r="F118" s="123">
        <f>SUM(F4:F116)</f>
        <v>0</v>
      </c>
    </row>
    <row r="119" spans="1:6" ht="11.1" customHeight="1" x14ac:dyDescent="0.2">
      <c r="C119" s="122"/>
      <c r="D119" s="122"/>
      <c r="E119" s="111"/>
    </row>
    <row r="120" spans="1:6" ht="11.1" customHeight="1" x14ac:dyDescent="0.2">
      <c r="C120" s="122"/>
      <c r="D120" s="122">
        <f>ROUND(SUM(D4:D116),2)</f>
        <v>0</v>
      </c>
      <c r="E120" s="111"/>
    </row>
    <row r="121" spans="1:6" ht="11.1" customHeight="1" x14ac:dyDescent="0.2">
      <c r="C121" s="122"/>
      <c r="D121" s="122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1"/>
  <sheetViews>
    <sheetView topLeftCell="A109" zoomScale="115" zoomScaleNormal="115" zoomScaleSheetLayoutView="70" workbookViewId="0">
      <pane xSplit="3" topLeftCell="D1" activePane="topRight" state="frozen"/>
      <selection pane="topRight" activeCell="F28" sqref="F28"/>
    </sheetView>
  </sheetViews>
  <sheetFormatPr defaultRowHeight="11.1" customHeight="1" x14ac:dyDescent="0.2"/>
  <cols>
    <col min="1" max="1" width="14.5703125" style="98" bestFit="1" customWidth="1"/>
    <col min="2" max="2" width="39.5703125" style="98" bestFit="1" customWidth="1"/>
    <col min="3" max="4" width="18.5703125" style="123" customWidth="1"/>
    <col min="5" max="5" width="16.28515625" style="98" bestFit="1" customWidth="1"/>
    <col min="6" max="6" width="15.42578125" style="123" bestFit="1" customWidth="1"/>
    <col min="7" max="7" width="15.28515625" style="123" customWidth="1"/>
    <col min="8" max="9" width="14.28515625" style="123" bestFit="1" customWidth="1"/>
    <col min="10" max="12" width="13" style="123" customWidth="1"/>
    <col min="13" max="13" width="13" style="144" customWidth="1"/>
    <col min="14" max="14" width="13" style="145" customWidth="1"/>
    <col min="15" max="17" width="13" style="123" customWidth="1"/>
    <col min="18" max="16384" width="9.140625" style="98"/>
  </cols>
  <sheetData>
    <row r="1" spans="1:17" s="96" customFormat="1" ht="18.75" thickBot="1" x14ac:dyDescent="0.25">
      <c r="A1" s="93" t="s">
        <v>996</v>
      </c>
      <c r="B1" s="94"/>
      <c r="C1" s="115"/>
      <c r="D1" s="115"/>
      <c r="E1" s="95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1.1" customHeight="1" thickBot="1" x14ac:dyDescent="0.25">
      <c r="A2" s="97" t="s">
        <v>785</v>
      </c>
      <c r="B2" s="97" t="s">
        <v>786</v>
      </c>
      <c r="C2" s="116" t="s">
        <v>964</v>
      </c>
      <c r="D2" s="116" t="s">
        <v>923</v>
      </c>
      <c r="E2" s="404" t="s">
        <v>931</v>
      </c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5"/>
    </row>
    <row r="3" spans="1:17" ht="11.1" customHeight="1" thickBot="1" x14ac:dyDescent="0.25">
      <c r="A3" s="99"/>
      <c r="B3" s="99"/>
      <c r="C3" s="117">
        <f>SUM(C4:C116)</f>
        <v>-49223.289999999746</v>
      </c>
      <c r="D3" s="117">
        <f>SUM(D4:D116)</f>
        <v>-6.0037308458049665E-11</v>
      </c>
      <c r="E3" s="100">
        <f>SUM(E4:E116)</f>
        <v>49223.289999999746</v>
      </c>
      <c r="F3" s="129" t="s">
        <v>935</v>
      </c>
      <c r="G3" s="130" t="s">
        <v>936</v>
      </c>
      <c r="H3" s="130" t="s">
        <v>937</v>
      </c>
      <c r="I3" s="130" t="s">
        <v>938</v>
      </c>
      <c r="J3" s="130" t="s">
        <v>939</v>
      </c>
      <c r="K3" s="130" t="s">
        <v>940</v>
      </c>
      <c r="L3" s="130" t="s">
        <v>941</v>
      </c>
      <c r="M3" s="130" t="s">
        <v>942</v>
      </c>
      <c r="N3" s="130" t="s">
        <v>943</v>
      </c>
      <c r="O3" s="130" t="s">
        <v>944</v>
      </c>
      <c r="P3" s="130" t="s">
        <v>945</v>
      </c>
      <c r="Q3" s="131" t="s">
        <v>946</v>
      </c>
    </row>
    <row r="4" spans="1:17" ht="12.75" customHeight="1" x14ac:dyDescent="0.2">
      <c r="A4" s="101">
        <v>9999</v>
      </c>
      <c r="B4" s="102" t="s">
        <v>955</v>
      </c>
      <c r="C4" s="118"/>
      <c r="D4" s="124">
        <f t="shared" ref="D4:D33" si="0">+C4+E4</f>
        <v>0</v>
      </c>
      <c r="E4" s="112">
        <f>SUM(F4:Q4)</f>
        <v>0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1:17" ht="12.75" customHeight="1" x14ac:dyDescent="0.2">
      <c r="A5" s="101" t="s">
        <v>787</v>
      </c>
      <c r="B5" s="102" t="s">
        <v>154</v>
      </c>
      <c r="C5" s="118">
        <v>791672</v>
      </c>
      <c r="D5" s="124">
        <f t="shared" si="0"/>
        <v>791672</v>
      </c>
      <c r="E5" s="112">
        <f t="shared" ref="E5:E33" si="1">SUM(F5:Q5)</f>
        <v>0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</row>
    <row r="6" spans="1:17" ht="12.75" customHeight="1" x14ac:dyDescent="0.2">
      <c r="A6" s="101" t="s">
        <v>788</v>
      </c>
      <c r="B6" s="102" t="s">
        <v>781</v>
      </c>
      <c r="C6" s="118"/>
      <c r="D6" s="124">
        <f t="shared" si="0"/>
        <v>0</v>
      </c>
      <c r="E6" s="112">
        <f t="shared" si="1"/>
        <v>0</v>
      </c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1:17" ht="12.75" customHeight="1" x14ac:dyDescent="0.2">
      <c r="A7" s="101" t="s">
        <v>789</v>
      </c>
      <c r="B7" s="102" t="s">
        <v>790</v>
      </c>
      <c r="C7" s="118">
        <v>1000</v>
      </c>
      <c r="D7" s="124">
        <f t="shared" si="0"/>
        <v>1000</v>
      </c>
      <c r="E7" s="112">
        <f t="shared" si="1"/>
        <v>0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</row>
    <row r="8" spans="1:17" ht="12.75" customHeight="1" x14ac:dyDescent="0.2">
      <c r="A8" s="101" t="s">
        <v>791</v>
      </c>
      <c r="B8" s="102" t="s">
        <v>792</v>
      </c>
      <c r="C8" s="118">
        <v>1488.78</v>
      </c>
      <c r="D8" s="124">
        <f t="shared" si="0"/>
        <v>1488.78</v>
      </c>
      <c r="E8" s="112">
        <f t="shared" si="1"/>
        <v>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5"/>
    </row>
    <row r="9" spans="1:17" ht="12.75" customHeight="1" x14ac:dyDescent="0.2">
      <c r="A9" s="101" t="s">
        <v>793</v>
      </c>
      <c r="B9" s="102" t="s">
        <v>794</v>
      </c>
      <c r="C9" s="118">
        <v>53796.13</v>
      </c>
      <c r="D9" s="124">
        <f t="shared" si="0"/>
        <v>53796.13</v>
      </c>
      <c r="E9" s="112">
        <f t="shared" si="1"/>
        <v>0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5"/>
    </row>
    <row r="10" spans="1:17" ht="12.75" customHeight="1" x14ac:dyDescent="0.2">
      <c r="A10" s="101" t="s">
        <v>795</v>
      </c>
      <c r="B10" s="102" t="s">
        <v>796</v>
      </c>
      <c r="C10" s="118"/>
      <c r="D10" s="124">
        <f t="shared" si="0"/>
        <v>0</v>
      </c>
      <c r="E10" s="112">
        <f t="shared" si="1"/>
        <v>0</v>
      </c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5"/>
    </row>
    <row r="11" spans="1:17" ht="12.75" customHeight="1" x14ac:dyDescent="0.2">
      <c r="A11" s="101" t="s">
        <v>1000</v>
      </c>
      <c r="B11" s="102" t="s">
        <v>1001</v>
      </c>
      <c r="C11" s="118"/>
      <c r="D11" s="124">
        <f t="shared" si="0"/>
        <v>0</v>
      </c>
      <c r="E11" s="112">
        <f t="shared" si="1"/>
        <v>0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5"/>
    </row>
    <row r="12" spans="1:17" ht="12.75" customHeight="1" x14ac:dyDescent="0.2">
      <c r="A12" s="101" t="s">
        <v>797</v>
      </c>
      <c r="B12" s="102" t="s">
        <v>798</v>
      </c>
      <c r="C12" s="118">
        <v>-16336.15</v>
      </c>
      <c r="D12" s="124">
        <f t="shared" si="0"/>
        <v>-16336.15</v>
      </c>
      <c r="E12" s="112">
        <f t="shared" si="1"/>
        <v>0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5"/>
    </row>
    <row r="13" spans="1:17" ht="12.75" customHeight="1" x14ac:dyDescent="0.2">
      <c r="A13" s="101" t="s">
        <v>799</v>
      </c>
      <c r="B13" s="102" t="s">
        <v>780</v>
      </c>
      <c r="C13" s="118"/>
      <c r="D13" s="124">
        <f t="shared" si="0"/>
        <v>0</v>
      </c>
      <c r="E13" s="112">
        <f t="shared" si="1"/>
        <v>0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</row>
    <row r="14" spans="1:17" ht="12.75" customHeight="1" x14ac:dyDescent="0.2">
      <c r="A14" s="101" t="s">
        <v>997</v>
      </c>
      <c r="B14" s="102" t="s">
        <v>998</v>
      </c>
      <c r="C14" s="122"/>
      <c r="D14" s="146">
        <f t="shared" si="0"/>
        <v>0</v>
      </c>
      <c r="E14" s="112">
        <f t="shared" si="1"/>
        <v>0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5"/>
    </row>
    <row r="15" spans="1:17" ht="12.75" customHeight="1" x14ac:dyDescent="0.2">
      <c r="A15" s="101" t="s">
        <v>816</v>
      </c>
      <c r="B15" s="102" t="s">
        <v>817</v>
      </c>
      <c r="C15" s="118">
        <v>1837.27</v>
      </c>
      <c r="D15" s="124">
        <f t="shared" si="0"/>
        <v>1837.27</v>
      </c>
      <c r="E15" s="112">
        <f t="shared" si="1"/>
        <v>0</v>
      </c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/>
    </row>
    <row r="16" spans="1:17" ht="12.75" customHeight="1" x14ac:dyDescent="0.2">
      <c r="A16" s="101" t="s">
        <v>783</v>
      </c>
      <c r="B16" s="102" t="s">
        <v>170</v>
      </c>
      <c r="C16" s="118">
        <v>-28914.720000000001</v>
      </c>
      <c r="D16" s="124">
        <f t="shared" si="0"/>
        <v>-28914.720000000001</v>
      </c>
      <c r="E16" s="112">
        <f t="shared" si="1"/>
        <v>0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5"/>
    </row>
    <row r="17" spans="1:17" ht="12.75" customHeight="1" x14ac:dyDescent="0.2">
      <c r="A17" s="101" t="s">
        <v>694</v>
      </c>
      <c r="B17" s="102" t="s">
        <v>800</v>
      </c>
      <c r="C17" s="118"/>
      <c r="D17" s="124">
        <f t="shared" si="0"/>
        <v>0</v>
      </c>
      <c r="E17" s="112">
        <f t="shared" si="1"/>
        <v>0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6"/>
      <c r="Q17" s="135"/>
    </row>
    <row r="18" spans="1:17" ht="12.75" customHeight="1" x14ac:dyDescent="0.2">
      <c r="A18" s="101" t="s">
        <v>801</v>
      </c>
      <c r="B18" s="102" t="s">
        <v>802</v>
      </c>
      <c r="C18" s="118"/>
      <c r="D18" s="124">
        <f t="shared" si="0"/>
        <v>0</v>
      </c>
      <c r="E18" s="112">
        <f t="shared" si="1"/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6"/>
      <c r="Q18" s="135"/>
    </row>
    <row r="19" spans="1:17" ht="12.75" customHeight="1" x14ac:dyDescent="0.2">
      <c r="A19" s="101" t="s">
        <v>926</v>
      </c>
      <c r="B19" s="102" t="s">
        <v>927</v>
      </c>
      <c r="C19" s="118"/>
      <c r="D19" s="124">
        <f t="shared" si="0"/>
        <v>0</v>
      </c>
      <c r="E19" s="112">
        <f t="shared" si="1"/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6"/>
      <c r="Q19" s="135"/>
    </row>
    <row r="20" spans="1:17" ht="12.75" customHeight="1" x14ac:dyDescent="0.2">
      <c r="A20" s="101" t="s">
        <v>814</v>
      </c>
      <c r="B20" s="102" t="s">
        <v>815</v>
      </c>
      <c r="C20" s="118"/>
      <c r="D20" s="124">
        <f t="shared" si="0"/>
        <v>0</v>
      </c>
      <c r="E20" s="112">
        <f t="shared" si="1"/>
        <v>0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6"/>
      <c r="Q20" s="135"/>
    </row>
    <row r="21" spans="1:17" ht="12.75" customHeight="1" x14ac:dyDescent="0.2">
      <c r="A21" s="101" t="s">
        <v>664</v>
      </c>
      <c r="B21" s="102" t="s">
        <v>990</v>
      </c>
      <c r="C21" s="118"/>
      <c r="D21" s="124">
        <f t="shared" si="0"/>
        <v>0</v>
      </c>
      <c r="E21" s="112">
        <f t="shared" si="1"/>
        <v>0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6"/>
      <c r="Q21" s="135"/>
    </row>
    <row r="22" spans="1:17" ht="12.75" customHeight="1" x14ac:dyDescent="0.2">
      <c r="A22" s="101" t="s">
        <v>992</v>
      </c>
      <c r="B22" s="102" t="s">
        <v>991</v>
      </c>
      <c r="C22" s="118"/>
      <c r="D22" s="124">
        <f t="shared" si="0"/>
        <v>0</v>
      </c>
      <c r="E22" s="112">
        <f t="shared" si="1"/>
        <v>0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6"/>
      <c r="Q22" s="135"/>
    </row>
    <row r="23" spans="1:17" ht="12.75" customHeight="1" x14ac:dyDescent="0.2">
      <c r="A23" s="101" t="s">
        <v>803</v>
      </c>
      <c r="B23" s="102" t="s">
        <v>804</v>
      </c>
      <c r="C23" s="118"/>
      <c r="D23" s="124">
        <f t="shared" si="0"/>
        <v>0</v>
      </c>
      <c r="E23" s="112">
        <f t="shared" si="1"/>
        <v>0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6"/>
      <c r="Q23" s="135"/>
    </row>
    <row r="24" spans="1:17" ht="12.75" customHeight="1" x14ac:dyDescent="0.2">
      <c r="A24" s="101" t="s">
        <v>805</v>
      </c>
      <c r="B24" s="102" t="s">
        <v>806</v>
      </c>
      <c r="C24" s="118">
        <v>4618.3900000000003</v>
      </c>
      <c r="D24" s="124">
        <f t="shared" si="0"/>
        <v>0</v>
      </c>
      <c r="E24" s="112">
        <f t="shared" si="1"/>
        <v>-4618.3899999999994</v>
      </c>
      <c r="F24" s="134"/>
      <c r="G24" s="134"/>
      <c r="H24" s="134"/>
      <c r="I24" s="134"/>
      <c r="J24" s="134"/>
      <c r="K24" s="134"/>
      <c r="L24" s="134">
        <v>-902.84</v>
      </c>
      <c r="M24" s="134">
        <v>-1409.39</v>
      </c>
      <c r="N24" s="134">
        <v>-1013.18</v>
      </c>
      <c r="O24" s="134">
        <v>-1292.98</v>
      </c>
      <c r="P24" s="136"/>
      <c r="Q24" s="135"/>
    </row>
    <row r="25" spans="1:17" ht="12.75" customHeight="1" x14ac:dyDescent="0.2">
      <c r="A25" s="101" t="s">
        <v>697</v>
      </c>
      <c r="B25" s="102" t="s">
        <v>807</v>
      </c>
      <c r="C25" s="118"/>
      <c r="D25" s="124">
        <f t="shared" si="0"/>
        <v>0</v>
      </c>
      <c r="E25" s="112">
        <f t="shared" si="1"/>
        <v>0</v>
      </c>
      <c r="F25" s="136"/>
      <c r="G25" s="134"/>
      <c r="H25" s="134"/>
      <c r="I25" s="134"/>
      <c r="J25" s="134"/>
      <c r="K25" s="134"/>
      <c r="L25" s="134"/>
      <c r="M25" s="134"/>
      <c r="N25" s="134"/>
      <c r="O25" s="134"/>
      <c r="P25" s="136"/>
      <c r="Q25" s="135"/>
    </row>
    <row r="26" spans="1:17" ht="12.75" customHeight="1" x14ac:dyDescent="0.2">
      <c r="A26" s="101" t="s">
        <v>808</v>
      </c>
      <c r="B26" s="102" t="s">
        <v>809</v>
      </c>
      <c r="C26" s="118">
        <v>-225096.05</v>
      </c>
      <c r="D26" s="124">
        <f t="shared" si="0"/>
        <v>-175872.76000000024</v>
      </c>
      <c r="E26" s="112">
        <f t="shared" si="1"/>
        <v>49223.289999999746</v>
      </c>
      <c r="F26" s="134">
        <f>-C3</f>
        <v>49223.289999999746</v>
      </c>
      <c r="G26" s="134"/>
      <c r="H26" s="134"/>
      <c r="I26" s="134"/>
      <c r="J26" s="134"/>
      <c r="K26" s="134"/>
      <c r="L26" s="134"/>
      <c r="M26" s="134"/>
      <c r="N26" s="134"/>
      <c r="O26" s="134"/>
      <c r="P26" s="136"/>
      <c r="Q26" s="135"/>
    </row>
    <row r="27" spans="1:17" ht="12.75" customHeight="1" x14ac:dyDescent="0.2">
      <c r="A27" s="101" t="s">
        <v>934</v>
      </c>
      <c r="B27" s="102" t="s">
        <v>954</v>
      </c>
      <c r="C27" s="118">
        <v>-47256.69</v>
      </c>
      <c r="D27" s="124">
        <f t="shared" si="0"/>
        <v>-47256.69</v>
      </c>
      <c r="E27" s="112">
        <f t="shared" si="1"/>
        <v>0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6"/>
      <c r="Q27" s="135"/>
    </row>
    <row r="28" spans="1:17" ht="12.75" customHeight="1" x14ac:dyDescent="0.2">
      <c r="A28" s="104" t="s">
        <v>810</v>
      </c>
      <c r="B28" s="105" t="s">
        <v>811</v>
      </c>
      <c r="C28" s="118">
        <v>-508190.26</v>
      </c>
      <c r="D28" s="124">
        <f t="shared" si="0"/>
        <v>-508190.26</v>
      </c>
      <c r="E28" s="112">
        <f t="shared" si="1"/>
        <v>0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6"/>
      <c r="Q28" s="135"/>
    </row>
    <row r="29" spans="1:17" ht="12.75" customHeight="1" x14ac:dyDescent="0.2">
      <c r="A29" s="104" t="s">
        <v>1054</v>
      </c>
      <c r="B29" s="105" t="s">
        <v>1066</v>
      </c>
      <c r="C29" s="118">
        <v>-22935.03</v>
      </c>
      <c r="D29" s="124">
        <f t="shared" si="0"/>
        <v>-22935.03</v>
      </c>
      <c r="E29" s="112">
        <f t="shared" si="1"/>
        <v>0</v>
      </c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6"/>
      <c r="Q29" s="135"/>
    </row>
    <row r="30" spans="1:17" ht="12.75" customHeight="1" x14ac:dyDescent="0.2">
      <c r="A30" s="104" t="s">
        <v>1056</v>
      </c>
      <c r="B30" s="105" t="s">
        <v>1067</v>
      </c>
      <c r="C30" s="118">
        <v>-68003.539999999994</v>
      </c>
      <c r="D30" s="124">
        <f t="shared" si="0"/>
        <v>-68003.539999999994</v>
      </c>
      <c r="E30" s="112">
        <f t="shared" si="1"/>
        <v>0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6"/>
      <c r="Q30" s="135"/>
    </row>
    <row r="31" spans="1:17" ht="12.75" customHeight="1" x14ac:dyDescent="0.2">
      <c r="A31" s="104" t="s">
        <v>1055</v>
      </c>
      <c r="B31" s="105" t="s">
        <v>1068</v>
      </c>
      <c r="C31" s="118">
        <v>5168.7700000000004</v>
      </c>
      <c r="D31" s="124">
        <f t="shared" si="0"/>
        <v>5473.84</v>
      </c>
      <c r="E31" s="112">
        <f t="shared" si="1"/>
        <v>305.07</v>
      </c>
      <c r="F31" s="134"/>
      <c r="G31" s="134"/>
      <c r="H31" s="134"/>
      <c r="I31" s="134"/>
      <c r="J31" s="134"/>
      <c r="K31" s="134"/>
      <c r="L31" s="134"/>
      <c r="M31" s="134">
        <v>305.07</v>
      </c>
      <c r="N31" s="134"/>
      <c r="O31" s="134"/>
      <c r="P31" s="136"/>
      <c r="Q31" s="135"/>
    </row>
    <row r="32" spans="1:17" ht="12.75" customHeight="1" x14ac:dyDescent="0.2">
      <c r="A32" s="104" t="s">
        <v>1065</v>
      </c>
      <c r="B32" s="105" t="s">
        <v>1069</v>
      </c>
      <c r="C32" s="118">
        <v>43960</v>
      </c>
      <c r="D32" s="124">
        <f t="shared" si="0"/>
        <v>43960</v>
      </c>
      <c r="E32" s="112">
        <f t="shared" si="1"/>
        <v>0</v>
      </c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6"/>
      <c r="Q32" s="135"/>
    </row>
    <row r="33" spans="1:17" ht="12.75" customHeight="1" thickBot="1" x14ac:dyDescent="0.25">
      <c r="A33" s="106" t="s">
        <v>812</v>
      </c>
      <c r="B33" s="107" t="s">
        <v>813</v>
      </c>
      <c r="C33" s="117"/>
      <c r="D33" s="125">
        <f t="shared" si="0"/>
        <v>0</v>
      </c>
      <c r="E33" s="112">
        <f t="shared" si="1"/>
        <v>0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8"/>
      <c r="Q33" s="139"/>
    </row>
    <row r="34" spans="1:17" ht="12.75" customHeight="1" x14ac:dyDescent="0.2">
      <c r="A34" s="108"/>
      <c r="B34" s="109"/>
      <c r="C34" s="119"/>
      <c r="D34" s="119"/>
      <c r="E34" s="113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</row>
    <row r="35" spans="1:17" ht="12.75" customHeight="1" thickBot="1" x14ac:dyDescent="0.25">
      <c r="A35" s="106"/>
      <c r="B35" s="107"/>
      <c r="C35" s="120"/>
      <c r="D35" s="120"/>
      <c r="E35" s="114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1:17" ht="12.75" customHeight="1" x14ac:dyDescent="0.2">
      <c r="A36" s="98" t="s">
        <v>822</v>
      </c>
      <c r="B36" s="98" t="s">
        <v>823</v>
      </c>
      <c r="C36" s="118"/>
      <c r="D36" s="124">
        <f t="shared" ref="D36:D67" si="2">+C36+E36</f>
        <v>0</v>
      </c>
      <c r="E36" s="112">
        <f>SUM(F36:Q36)</f>
        <v>0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6"/>
      <c r="Q36" s="135"/>
    </row>
    <row r="37" spans="1:17" ht="12.75" customHeight="1" x14ac:dyDescent="0.2">
      <c r="A37" s="98" t="s">
        <v>824</v>
      </c>
      <c r="B37" s="98" t="s">
        <v>956</v>
      </c>
      <c r="C37" s="121">
        <v>-105618.98</v>
      </c>
      <c r="D37" s="126">
        <f t="shared" si="2"/>
        <v>-105618.98</v>
      </c>
      <c r="E37" s="112">
        <f t="shared" ref="E37:E100" si="3">SUM(F37:Q37)</f>
        <v>0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6"/>
      <c r="Q37" s="135"/>
    </row>
    <row r="38" spans="1:17" ht="12.75" customHeight="1" x14ac:dyDescent="0.2">
      <c r="A38" s="98" t="s">
        <v>825</v>
      </c>
      <c r="B38" s="98" t="s">
        <v>826</v>
      </c>
      <c r="C38" s="121"/>
      <c r="D38" s="126">
        <f t="shared" si="2"/>
        <v>0</v>
      </c>
      <c r="E38" s="112">
        <f t="shared" si="3"/>
        <v>0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6"/>
      <c r="Q38" s="135"/>
    </row>
    <row r="39" spans="1:17" ht="12.75" customHeight="1" x14ac:dyDescent="0.2">
      <c r="A39" s="98" t="s">
        <v>827</v>
      </c>
      <c r="B39" s="98" t="s">
        <v>957</v>
      </c>
      <c r="C39" s="121">
        <v>-7169.39</v>
      </c>
      <c r="D39" s="126">
        <f t="shared" si="2"/>
        <v>-7169.39</v>
      </c>
      <c r="E39" s="112">
        <f t="shared" si="3"/>
        <v>0</v>
      </c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6"/>
      <c r="Q39" s="135"/>
    </row>
    <row r="40" spans="1:17" ht="12.75" customHeight="1" x14ac:dyDescent="0.2">
      <c r="A40" s="98" t="s">
        <v>828</v>
      </c>
      <c r="B40" s="98" t="s">
        <v>782</v>
      </c>
      <c r="C40" s="121">
        <v>-45</v>
      </c>
      <c r="D40" s="126">
        <f t="shared" si="2"/>
        <v>-45</v>
      </c>
      <c r="E40" s="112">
        <f t="shared" si="3"/>
        <v>0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6"/>
      <c r="Q40" s="135"/>
    </row>
    <row r="41" spans="1:17" ht="12.75" customHeight="1" x14ac:dyDescent="0.2">
      <c r="A41" s="101" t="s">
        <v>829</v>
      </c>
      <c r="B41" s="101" t="s">
        <v>830</v>
      </c>
      <c r="C41" s="121"/>
      <c r="D41" s="126">
        <f t="shared" si="2"/>
        <v>0</v>
      </c>
      <c r="E41" s="112">
        <f t="shared" si="3"/>
        <v>0</v>
      </c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6"/>
      <c r="Q41" s="135"/>
    </row>
    <row r="42" spans="1:17" ht="12.75" customHeight="1" x14ac:dyDescent="0.2">
      <c r="A42" s="101" t="s">
        <v>831</v>
      </c>
      <c r="B42" s="102" t="s">
        <v>832</v>
      </c>
      <c r="C42" s="147">
        <v>-6511.9</v>
      </c>
      <c r="D42" s="148">
        <f t="shared" si="2"/>
        <v>-6511.9</v>
      </c>
      <c r="E42" s="112">
        <f t="shared" si="3"/>
        <v>0</v>
      </c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6"/>
      <c r="Q42" s="135"/>
    </row>
    <row r="43" spans="1:17" ht="12.75" customHeight="1" x14ac:dyDescent="0.2">
      <c r="A43" s="101" t="s">
        <v>833</v>
      </c>
      <c r="B43" s="102" t="s">
        <v>834</v>
      </c>
      <c r="C43" s="121"/>
      <c r="D43" s="126">
        <f t="shared" si="2"/>
        <v>0</v>
      </c>
      <c r="E43" s="112">
        <f t="shared" si="3"/>
        <v>0</v>
      </c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6"/>
      <c r="Q43" s="135"/>
    </row>
    <row r="44" spans="1:17" ht="12.75" customHeight="1" x14ac:dyDescent="0.2">
      <c r="A44" s="101" t="s">
        <v>835</v>
      </c>
      <c r="B44" s="102" t="s">
        <v>836</v>
      </c>
      <c r="C44" s="121">
        <v>-2332.33</v>
      </c>
      <c r="D44" s="126">
        <f t="shared" si="2"/>
        <v>-2332.33</v>
      </c>
      <c r="E44" s="112">
        <f t="shared" si="3"/>
        <v>0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6"/>
      <c r="Q44" s="135"/>
    </row>
    <row r="45" spans="1:17" ht="12.75" customHeight="1" x14ac:dyDescent="0.2">
      <c r="A45" s="101" t="s">
        <v>837</v>
      </c>
      <c r="B45" s="102" t="s">
        <v>838</v>
      </c>
      <c r="C45" s="121"/>
      <c r="D45" s="126">
        <f t="shared" si="2"/>
        <v>0</v>
      </c>
      <c r="E45" s="112">
        <f t="shared" si="3"/>
        <v>0</v>
      </c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6"/>
      <c r="Q45" s="135"/>
    </row>
    <row r="46" spans="1:17" ht="12.75" customHeight="1" x14ac:dyDescent="0.2">
      <c r="A46" s="101" t="s">
        <v>839</v>
      </c>
      <c r="B46" s="102" t="s">
        <v>5</v>
      </c>
      <c r="C46" s="121">
        <v>-13408</v>
      </c>
      <c r="D46" s="126">
        <f t="shared" si="2"/>
        <v>-13408</v>
      </c>
      <c r="E46" s="112">
        <f t="shared" si="3"/>
        <v>0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6"/>
      <c r="Q46" s="135"/>
    </row>
    <row r="47" spans="1:17" ht="12.75" customHeight="1" x14ac:dyDescent="0.2">
      <c r="A47" s="101" t="s">
        <v>840</v>
      </c>
      <c r="B47" s="102" t="s">
        <v>6</v>
      </c>
      <c r="C47" s="121"/>
      <c r="D47" s="126">
        <f t="shared" si="2"/>
        <v>0</v>
      </c>
      <c r="E47" s="112">
        <f t="shared" si="3"/>
        <v>0</v>
      </c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6"/>
      <c r="Q47" s="135"/>
    </row>
    <row r="48" spans="1:17" ht="12.75" customHeight="1" x14ac:dyDescent="0.2">
      <c r="A48" s="101" t="s">
        <v>841</v>
      </c>
      <c r="B48" s="102" t="s">
        <v>92</v>
      </c>
      <c r="C48" s="121"/>
      <c r="D48" s="126">
        <f t="shared" si="2"/>
        <v>0</v>
      </c>
      <c r="E48" s="112">
        <f t="shared" si="3"/>
        <v>0</v>
      </c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6"/>
      <c r="Q48" s="135"/>
    </row>
    <row r="49" spans="1:17" ht="12.75" customHeight="1" x14ac:dyDescent="0.2">
      <c r="A49" s="101" t="s">
        <v>842</v>
      </c>
      <c r="B49" s="102" t="s">
        <v>843</v>
      </c>
      <c r="C49" s="121">
        <v>-308332.01</v>
      </c>
      <c r="D49" s="126">
        <f t="shared" si="2"/>
        <v>-308332.01</v>
      </c>
      <c r="E49" s="112">
        <f t="shared" si="3"/>
        <v>0</v>
      </c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6"/>
      <c r="Q49" s="135"/>
    </row>
    <row r="50" spans="1:17" ht="12.75" customHeight="1" x14ac:dyDescent="0.2">
      <c r="A50" s="101" t="s">
        <v>950</v>
      </c>
      <c r="B50" s="102" t="s">
        <v>951</v>
      </c>
      <c r="C50" s="121"/>
      <c r="D50" s="126">
        <f t="shared" si="2"/>
        <v>0</v>
      </c>
      <c r="E50" s="112">
        <f t="shared" si="3"/>
        <v>0</v>
      </c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6"/>
      <c r="Q50" s="135"/>
    </row>
    <row r="51" spans="1:17" ht="12.75" customHeight="1" x14ac:dyDescent="0.2">
      <c r="A51" s="101" t="s">
        <v>844</v>
      </c>
      <c r="B51" s="102" t="s">
        <v>845</v>
      </c>
      <c r="C51" s="121"/>
      <c r="D51" s="126">
        <f t="shared" si="2"/>
        <v>0</v>
      </c>
      <c r="E51" s="112">
        <f t="shared" si="3"/>
        <v>0</v>
      </c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6"/>
      <c r="Q51" s="135"/>
    </row>
    <row r="52" spans="1:17" ht="12.75" customHeight="1" x14ac:dyDescent="0.2">
      <c r="A52" s="101" t="s">
        <v>846</v>
      </c>
      <c r="B52" s="102" t="s">
        <v>847</v>
      </c>
      <c r="C52" s="121"/>
      <c r="D52" s="126">
        <f t="shared" si="2"/>
        <v>0</v>
      </c>
      <c r="E52" s="112">
        <f t="shared" si="3"/>
        <v>0</v>
      </c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6"/>
      <c r="Q52" s="135"/>
    </row>
    <row r="53" spans="1:17" ht="12.75" customHeight="1" x14ac:dyDescent="0.2">
      <c r="A53" s="101" t="s">
        <v>848</v>
      </c>
      <c r="B53" s="102" t="s">
        <v>849</v>
      </c>
      <c r="C53" s="121"/>
      <c r="D53" s="126">
        <f t="shared" si="2"/>
        <v>0</v>
      </c>
      <c r="E53" s="112">
        <f t="shared" si="3"/>
        <v>0</v>
      </c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6"/>
      <c r="Q53" s="135"/>
    </row>
    <row r="54" spans="1:17" ht="12.75" customHeight="1" x14ac:dyDescent="0.2">
      <c r="A54" s="103" t="s">
        <v>965</v>
      </c>
      <c r="B54" s="103" t="s">
        <v>977</v>
      </c>
      <c r="C54" s="121">
        <v>-1347.79</v>
      </c>
      <c r="D54" s="126">
        <f t="shared" si="2"/>
        <v>-1347.79</v>
      </c>
      <c r="E54" s="112">
        <f t="shared" si="3"/>
        <v>0</v>
      </c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6"/>
      <c r="Q54" s="135"/>
    </row>
    <row r="55" spans="1:17" ht="12.75" customHeight="1" x14ac:dyDescent="0.2">
      <c r="A55" s="103" t="s">
        <v>966</v>
      </c>
      <c r="B55" s="103" t="s">
        <v>978</v>
      </c>
      <c r="C55" s="121"/>
      <c r="D55" s="126">
        <f t="shared" si="2"/>
        <v>0</v>
      </c>
      <c r="E55" s="112">
        <f t="shared" si="3"/>
        <v>0</v>
      </c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6"/>
      <c r="Q55" s="135"/>
    </row>
    <row r="56" spans="1:17" ht="12.75" customHeight="1" x14ac:dyDescent="0.2">
      <c r="A56" s="103" t="s">
        <v>967</v>
      </c>
      <c r="B56" s="103" t="s">
        <v>979</v>
      </c>
      <c r="C56" s="121"/>
      <c r="D56" s="126">
        <f t="shared" si="2"/>
        <v>0</v>
      </c>
      <c r="E56" s="112">
        <f t="shared" si="3"/>
        <v>0</v>
      </c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6"/>
      <c r="Q56" s="135"/>
    </row>
    <row r="57" spans="1:17" ht="12.75" customHeight="1" x14ac:dyDescent="0.2">
      <c r="A57" s="103" t="s">
        <v>1002</v>
      </c>
      <c r="B57" s="103" t="s">
        <v>1003</v>
      </c>
      <c r="C57" s="121"/>
      <c r="D57" s="126">
        <f t="shared" si="2"/>
        <v>0</v>
      </c>
      <c r="E57" s="112">
        <f t="shared" si="3"/>
        <v>0</v>
      </c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6"/>
      <c r="Q57" s="135"/>
    </row>
    <row r="58" spans="1:17" ht="12.75" customHeight="1" x14ac:dyDescent="0.2">
      <c r="A58" s="101" t="s">
        <v>850</v>
      </c>
      <c r="B58" s="102" t="s">
        <v>958</v>
      </c>
      <c r="C58" s="149">
        <v>50175</v>
      </c>
      <c r="D58" s="150">
        <f t="shared" si="2"/>
        <v>53865</v>
      </c>
      <c r="E58" s="112">
        <f t="shared" si="3"/>
        <v>3690</v>
      </c>
      <c r="F58" s="134"/>
      <c r="G58" s="134"/>
      <c r="H58" s="134"/>
      <c r="I58" s="134"/>
      <c r="J58" s="134"/>
      <c r="K58" s="134"/>
      <c r="L58" s="134">
        <v>776.25</v>
      </c>
      <c r="M58" s="134">
        <v>832.5</v>
      </c>
      <c r="N58" s="134">
        <v>900</v>
      </c>
      <c r="O58" s="134">
        <v>1181.25</v>
      </c>
      <c r="P58" s="134"/>
      <c r="Q58" s="135"/>
    </row>
    <row r="59" spans="1:17" ht="12.75" customHeight="1" x14ac:dyDescent="0.2">
      <c r="A59" s="101" t="s">
        <v>851</v>
      </c>
      <c r="B59" s="102" t="s">
        <v>852</v>
      </c>
      <c r="C59" s="149"/>
      <c r="D59" s="150">
        <f t="shared" si="2"/>
        <v>0</v>
      </c>
      <c r="E59" s="112">
        <f t="shared" si="3"/>
        <v>0</v>
      </c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6"/>
      <c r="Q59" s="135"/>
    </row>
    <row r="60" spans="1:17" ht="12.75" customHeight="1" x14ac:dyDescent="0.2">
      <c r="A60" s="101" t="s">
        <v>853</v>
      </c>
      <c r="B60" s="102" t="s">
        <v>854</v>
      </c>
      <c r="C60" s="149"/>
      <c r="D60" s="150">
        <f t="shared" si="2"/>
        <v>0</v>
      </c>
      <c r="E60" s="112">
        <f t="shared" si="3"/>
        <v>0</v>
      </c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6"/>
      <c r="Q60" s="135"/>
    </row>
    <row r="61" spans="1:17" ht="12.75" customHeight="1" x14ac:dyDescent="0.2">
      <c r="A61" s="101" t="s">
        <v>855</v>
      </c>
      <c r="B61" s="102" t="s">
        <v>856</v>
      </c>
      <c r="C61" s="149"/>
      <c r="D61" s="150">
        <f t="shared" si="2"/>
        <v>0</v>
      </c>
      <c r="E61" s="112">
        <f t="shared" si="3"/>
        <v>0</v>
      </c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6"/>
      <c r="Q61" s="135"/>
    </row>
    <row r="62" spans="1:17" ht="12.75" customHeight="1" x14ac:dyDescent="0.2">
      <c r="A62" s="101" t="s">
        <v>857</v>
      </c>
      <c r="B62" s="102" t="s">
        <v>858</v>
      </c>
      <c r="C62" s="149">
        <v>50668.6</v>
      </c>
      <c r="D62" s="150">
        <f t="shared" si="2"/>
        <v>50677.619999999995</v>
      </c>
      <c r="E62" s="112">
        <f t="shared" si="3"/>
        <v>9.02</v>
      </c>
      <c r="F62" s="134"/>
      <c r="G62" s="134"/>
      <c r="H62" s="134"/>
      <c r="I62" s="134"/>
      <c r="J62" s="134"/>
      <c r="K62" s="134"/>
      <c r="L62" s="134"/>
      <c r="M62" s="134"/>
      <c r="N62" s="134">
        <v>9.02</v>
      </c>
      <c r="O62" s="134"/>
      <c r="P62" s="136"/>
      <c r="Q62" s="135"/>
    </row>
    <row r="63" spans="1:17" ht="12.75" customHeight="1" x14ac:dyDescent="0.2">
      <c r="A63" s="101" t="s">
        <v>702</v>
      </c>
      <c r="B63" s="102" t="s">
        <v>959</v>
      </c>
      <c r="C63" s="149">
        <v>10693.01</v>
      </c>
      <c r="D63" s="150">
        <f t="shared" si="2"/>
        <v>10693.01</v>
      </c>
      <c r="E63" s="112">
        <f t="shared" si="3"/>
        <v>0</v>
      </c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6"/>
      <c r="Q63" s="135"/>
    </row>
    <row r="64" spans="1:17" ht="12.75" customHeight="1" x14ac:dyDescent="0.2">
      <c r="A64" s="101" t="s">
        <v>859</v>
      </c>
      <c r="B64" s="102" t="s">
        <v>860</v>
      </c>
      <c r="C64" s="149">
        <v>5155.6499999999996</v>
      </c>
      <c r="D64" s="150">
        <f t="shared" si="2"/>
        <v>5213.12</v>
      </c>
      <c r="E64" s="112">
        <f t="shared" si="3"/>
        <v>57.47</v>
      </c>
      <c r="F64" s="134"/>
      <c r="G64" s="134"/>
      <c r="H64" s="134"/>
      <c r="I64" s="134"/>
      <c r="J64" s="134"/>
      <c r="K64" s="134"/>
      <c r="L64" s="134">
        <v>26.59</v>
      </c>
      <c r="M64" s="134"/>
      <c r="N64" s="134">
        <v>13.01</v>
      </c>
      <c r="O64" s="134">
        <v>17.87</v>
      </c>
      <c r="P64" s="136"/>
      <c r="Q64" s="135"/>
    </row>
    <row r="65" spans="1:17" ht="12.75" customHeight="1" x14ac:dyDescent="0.2">
      <c r="A65" s="101" t="s">
        <v>861</v>
      </c>
      <c r="B65" s="102" t="s">
        <v>862</v>
      </c>
      <c r="C65" s="149">
        <v>15764.87</v>
      </c>
      <c r="D65" s="150">
        <f t="shared" si="2"/>
        <v>15768.83</v>
      </c>
      <c r="E65" s="112">
        <f t="shared" si="3"/>
        <v>3.96</v>
      </c>
      <c r="F65" s="134"/>
      <c r="G65" s="134"/>
      <c r="H65" s="134"/>
      <c r="I65" s="134"/>
      <c r="J65" s="134"/>
      <c r="K65" s="134"/>
      <c r="L65" s="134"/>
      <c r="M65" s="134"/>
      <c r="N65" s="134">
        <v>3.96</v>
      </c>
      <c r="O65" s="134"/>
      <c r="P65" s="136"/>
      <c r="Q65" s="135"/>
    </row>
    <row r="66" spans="1:17" ht="12.75" customHeight="1" x14ac:dyDescent="0.2">
      <c r="A66" s="101" t="s">
        <v>863</v>
      </c>
      <c r="B66" s="102" t="s">
        <v>864</v>
      </c>
      <c r="C66" s="149"/>
      <c r="D66" s="150">
        <f t="shared" si="2"/>
        <v>0</v>
      </c>
      <c r="E66" s="112">
        <f t="shared" si="3"/>
        <v>0</v>
      </c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6"/>
      <c r="Q66" s="135"/>
    </row>
    <row r="67" spans="1:17" ht="12.75" customHeight="1" x14ac:dyDescent="0.2">
      <c r="A67" s="101" t="s">
        <v>865</v>
      </c>
      <c r="B67" s="102" t="s">
        <v>866</v>
      </c>
      <c r="C67" s="149"/>
      <c r="D67" s="150">
        <f t="shared" si="2"/>
        <v>0</v>
      </c>
      <c r="E67" s="112">
        <f t="shared" si="3"/>
        <v>0</v>
      </c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6"/>
      <c r="Q67" s="135"/>
    </row>
    <row r="68" spans="1:17" ht="12.75" customHeight="1" x14ac:dyDescent="0.2">
      <c r="A68" s="101" t="s">
        <v>867</v>
      </c>
      <c r="B68" s="102" t="s">
        <v>868</v>
      </c>
      <c r="C68" s="149"/>
      <c r="D68" s="150">
        <f t="shared" ref="D68:D99" si="4">+C68+E68</f>
        <v>0</v>
      </c>
      <c r="E68" s="112">
        <f t="shared" si="3"/>
        <v>0</v>
      </c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6"/>
      <c r="Q68" s="135"/>
    </row>
    <row r="69" spans="1:17" ht="12.75" customHeight="1" x14ac:dyDescent="0.2">
      <c r="A69" s="101" t="s">
        <v>869</v>
      </c>
      <c r="B69" s="102" t="s">
        <v>870</v>
      </c>
      <c r="C69" s="149">
        <v>1016.96</v>
      </c>
      <c r="D69" s="150">
        <f t="shared" si="4"/>
        <v>1016.96</v>
      </c>
      <c r="E69" s="112">
        <f t="shared" si="3"/>
        <v>0</v>
      </c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6"/>
      <c r="Q69" s="135"/>
    </row>
    <row r="70" spans="1:17" ht="12.75" customHeight="1" x14ac:dyDescent="0.2">
      <c r="A70" s="101" t="s">
        <v>871</v>
      </c>
      <c r="B70" s="102" t="s">
        <v>870</v>
      </c>
      <c r="C70" s="149"/>
      <c r="D70" s="150">
        <f t="shared" si="4"/>
        <v>0</v>
      </c>
      <c r="E70" s="112">
        <f t="shared" si="3"/>
        <v>0</v>
      </c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6"/>
      <c r="Q70" s="135"/>
    </row>
    <row r="71" spans="1:17" ht="12.75" customHeight="1" x14ac:dyDescent="0.2">
      <c r="A71" s="101" t="s">
        <v>872</v>
      </c>
      <c r="B71" s="102" t="s">
        <v>873</v>
      </c>
      <c r="C71" s="149"/>
      <c r="D71" s="150">
        <f t="shared" si="4"/>
        <v>0</v>
      </c>
      <c r="E71" s="112">
        <f t="shared" si="3"/>
        <v>0</v>
      </c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6"/>
      <c r="Q71" s="135"/>
    </row>
    <row r="72" spans="1:17" ht="12.75" customHeight="1" x14ac:dyDescent="0.2">
      <c r="A72" s="101" t="s">
        <v>874</v>
      </c>
      <c r="B72" s="102" t="s">
        <v>875</v>
      </c>
      <c r="C72" s="149"/>
      <c r="D72" s="150">
        <f t="shared" si="4"/>
        <v>0</v>
      </c>
      <c r="E72" s="112">
        <f t="shared" si="3"/>
        <v>0</v>
      </c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6"/>
      <c r="Q72" s="135"/>
    </row>
    <row r="73" spans="1:17" ht="12.75" customHeight="1" x14ac:dyDescent="0.2">
      <c r="A73" s="101" t="s">
        <v>924</v>
      </c>
      <c r="B73" s="102" t="s">
        <v>925</v>
      </c>
      <c r="C73" s="149">
        <v>6498.11</v>
      </c>
      <c r="D73" s="150">
        <f t="shared" si="4"/>
        <v>6498.11</v>
      </c>
      <c r="E73" s="112">
        <f t="shared" si="3"/>
        <v>0</v>
      </c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6"/>
      <c r="Q73" s="135"/>
    </row>
    <row r="74" spans="1:17" ht="12.75" customHeight="1" x14ac:dyDescent="0.2">
      <c r="A74" s="101" t="s">
        <v>876</v>
      </c>
      <c r="B74" s="102" t="s">
        <v>877</v>
      </c>
      <c r="C74" s="149"/>
      <c r="D74" s="150">
        <f t="shared" si="4"/>
        <v>0</v>
      </c>
      <c r="E74" s="112">
        <f t="shared" si="3"/>
        <v>0</v>
      </c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6"/>
      <c r="Q74" s="135"/>
    </row>
    <row r="75" spans="1:17" ht="12.75" customHeight="1" x14ac:dyDescent="0.2">
      <c r="A75" s="101" t="s">
        <v>878</v>
      </c>
      <c r="B75" s="102" t="s">
        <v>5</v>
      </c>
      <c r="C75" s="149">
        <v>13196.14</v>
      </c>
      <c r="D75" s="150">
        <f t="shared" si="4"/>
        <v>13196.14</v>
      </c>
      <c r="E75" s="112">
        <f t="shared" si="3"/>
        <v>0</v>
      </c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6"/>
      <c r="Q75" s="135"/>
    </row>
    <row r="76" spans="1:17" ht="12.75" customHeight="1" x14ac:dyDescent="0.2">
      <c r="A76" s="101" t="s">
        <v>879</v>
      </c>
      <c r="B76" s="102" t="s">
        <v>880</v>
      </c>
      <c r="C76" s="149"/>
      <c r="D76" s="150">
        <f t="shared" si="4"/>
        <v>0</v>
      </c>
      <c r="E76" s="112">
        <f t="shared" si="3"/>
        <v>0</v>
      </c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6"/>
      <c r="Q76" s="135"/>
    </row>
    <row r="77" spans="1:17" ht="12.75" customHeight="1" x14ac:dyDescent="0.2">
      <c r="A77" s="101" t="s">
        <v>952</v>
      </c>
      <c r="B77" s="102" t="s">
        <v>953</v>
      </c>
      <c r="C77" s="121"/>
      <c r="D77" s="126">
        <f t="shared" si="4"/>
        <v>0</v>
      </c>
      <c r="E77" s="112">
        <f t="shared" si="3"/>
        <v>0</v>
      </c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6"/>
      <c r="Q77" s="135"/>
    </row>
    <row r="78" spans="1:17" ht="12.75" customHeight="1" x14ac:dyDescent="0.2">
      <c r="A78" s="101" t="s">
        <v>963</v>
      </c>
      <c r="B78" s="102" t="s">
        <v>962</v>
      </c>
      <c r="C78" s="149">
        <v>69022</v>
      </c>
      <c r="D78" s="150">
        <f t="shared" si="4"/>
        <v>69022</v>
      </c>
      <c r="E78" s="112">
        <f t="shared" si="3"/>
        <v>0</v>
      </c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6"/>
      <c r="Q78" s="135"/>
    </row>
    <row r="79" spans="1:17" ht="12.75" customHeight="1" x14ac:dyDescent="0.2">
      <c r="A79" s="101" t="s">
        <v>881</v>
      </c>
      <c r="B79" s="102" t="s">
        <v>730</v>
      </c>
      <c r="C79" s="149">
        <v>5141.8100000000004</v>
      </c>
      <c r="D79" s="150">
        <f t="shared" si="4"/>
        <v>5245.5</v>
      </c>
      <c r="E79" s="112">
        <f t="shared" si="3"/>
        <v>103.69</v>
      </c>
      <c r="F79" s="134"/>
      <c r="G79" s="134"/>
      <c r="H79" s="134"/>
      <c r="I79" s="134"/>
      <c r="J79" s="134"/>
      <c r="K79" s="134"/>
      <c r="L79" s="134"/>
      <c r="M79" s="134">
        <v>59.83</v>
      </c>
      <c r="N79" s="134"/>
      <c r="O79" s="134">
        <v>43.86</v>
      </c>
      <c r="P79" s="134"/>
      <c r="Q79" s="135"/>
    </row>
    <row r="80" spans="1:17" ht="12.75" customHeight="1" x14ac:dyDescent="0.2">
      <c r="A80" s="101" t="s">
        <v>882</v>
      </c>
      <c r="B80" s="102" t="s">
        <v>883</v>
      </c>
      <c r="C80" s="149"/>
      <c r="D80" s="150">
        <f t="shared" si="4"/>
        <v>0</v>
      </c>
      <c r="E80" s="112">
        <f t="shared" si="3"/>
        <v>0</v>
      </c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6"/>
      <c r="Q80" s="135"/>
    </row>
    <row r="81" spans="1:17" ht="12.75" customHeight="1" x14ac:dyDescent="0.2">
      <c r="A81" s="101" t="s">
        <v>914</v>
      </c>
      <c r="B81" s="102" t="s">
        <v>916</v>
      </c>
      <c r="C81" s="149"/>
      <c r="D81" s="150">
        <f t="shared" si="4"/>
        <v>0</v>
      </c>
      <c r="E81" s="112">
        <f t="shared" si="3"/>
        <v>0</v>
      </c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6"/>
      <c r="Q81" s="135"/>
    </row>
    <row r="82" spans="1:17" ht="12.75" customHeight="1" x14ac:dyDescent="0.2">
      <c r="A82" s="101" t="s">
        <v>915</v>
      </c>
      <c r="B82" s="102" t="s">
        <v>917</v>
      </c>
      <c r="C82" s="149"/>
      <c r="D82" s="150">
        <f t="shared" si="4"/>
        <v>0</v>
      </c>
      <c r="E82" s="112">
        <f t="shared" si="3"/>
        <v>0</v>
      </c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6"/>
      <c r="Q82" s="135"/>
    </row>
    <row r="83" spans="1:17" ht="12.75" customHeight="1" x14ac:dyDescent="0.2">
      <c r="A83" s="101" t="s">
        <v>921</v>
      </c>
      <c r="B83" s="102" t="s">
        <v>922</v>
      </c>
      <c r="C83" s="149"/>
      <c r="D83" s="150">
        <f t="shared" si="4"/>
        <v>0</v>
      </c>
      <c r="E83" s="112">
        <f t="shared" si="3"/>
        <v>0</v>
      </c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6"/>
      <c r="Q83" s="135"/>
    </row>
    <row r="84" spans="1:17" ht="12.75" customHeight="1" x14ac:dyDescent="0.2">
      <c r="A84" s="101" t="s">
        <v>700</v>
      </c>
      <c r="B84" s="102" t="s">
        <v>884</v>
      </c>
      <c r="C84" s="149">
        <v>1099.25</v>
      </c>
      <c r="D84" s="150">
        <f t="shared" si="4"/>
        <v>1099.25</v>
      </c>
      <c r="E84" s="112">
        <f t="shared" si="3"/>
        <v>0</v>
      </c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6"/>
      <c r="Q84" s="135"/>
    </row>
    <row r="85" spans="1:17" ht="12.75" customHeight="1" x14ac:dyDescent="0.2">
      <c r="A85" s="101" t="s">
        <v>601</v>
      </c>
      <c r="B85" s="102" t="s">
        <v>885</v>
      </c>
      <c r="C85" s="149"/>
      <c r="D85" s="150">
        <f t="shared" si="4"/>
        <v>0</v>
      </c>
      <c r="E85" s="112">
        <f t="shared" si="3"/>
        <v>0</v>
      </c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6"/>
      <c r="Q85" s="135"/>
    </row>
    <row r="86" spans="1:17" ht="12.75" customHeight="1" x14ac:dyDescent="0.2">
      <c r="A86" s="101" t="s">
        <v>886</v>
      </c>
      <c r="B86" s="102" t="s">
        <v>887</v>
      </c>
      <c r="C86" s="149">
        <v>19.48</v>
      </c>
      <c r="D86" s="150">
        <f t="shared" si="4"/>
        <v>19.48</v>
      </c>
      <c r="E86" s="112">
        <f t="shared" si="3"/>
        <v>0</v>
      </c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6"/>
      <c r="Q86" s="135"/>
    </row>
    <row r="87" spans="1:17" ht="12.75" customHeight="1" x14ac:dyDescent="0.2">
      <c r="A87" s="101" t="s">
        <v>1057</v>
      </c>
      <c r="B87" s="102" t="s">
        <v>1070</v>
      </c>
      <c r="C87" s="149">
        <v>1059.99</v>
      </c>
      <c r="D87" s="150">
        <f t="shared" si="4"/>
        <v>1271.98</v>
      </c>
      <c r="E87" s="112">
        <f t="shared" si="3"/>
        <v>211.99</v>
      </c>
      <c r="F87" s="134"/>
      <c r="G87" s="134"/>
      <c r="H87" s="134"/>
      <c r="I87" s="134"/>
      <c r="J87" s="134"/>
      <c r="K87" s="134"/>
      <c r="L87" s="134"/>
      <c r="M87" s="134">
        <v>211.99</v>
      </c>
      <c r="N87" s="134"/>
      <c r="O87" s="134"/>
      <c r="P87" s="136"/>
      <c r="Q87" s="135"/>
    </row>
    <row r="88" spans="1:17" ht="12.75" customHeight="1" x14ac:dyDescent="0.2">
      <c r="A88" s="101" t="s">
        <v>282</v>
      </c>
      <c r="B88" s="102" t="s">
        <v>888</v>
      </c>
      <c r="C88" s="149"/>
      <c r="D88" s="150">
        <f t="shared" si="4"/>
        <v>0</v>
      </c>
      <c r="E88" s="112">
        <f t="shared" si="3"/>
        <v>0</v>
      </c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6"/>
      <c r="Q88" s="135"/>
    </row>
    <row r="89" spans="1:17" ht="12.75" customHeight="1" x14ac:dyDescent="0.2">
      <c r="A89" s="101" t="s">
        <v>889</v>
      </c>
      <c r="B89" s="102" t="s">
        <v>890</v>
      </c>
      <c r="C89" s="149">
        <v>3250</v>
      </c>
      <c r="D89" s="150">
        <f t="shared" si="4"/>
        <v>3250</v>
      </c>
      <c r="E89" s="112">
        <f t="shared" si="3"/>
        <v>0</v>
      </c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6"/>
      <c r="Q89" s="135"/>
    </row>
    <row r="90" spans="1:17" ht="12.75" customHeight="1" x14ac:dyDescent="0.2">
      <c r="A90" s="98" t="s">
        <v>891</v>
      </c>
      <c r="B90" s="102" t="s">
        <v>892</v>
      </c>
      <c r="C90" s="149">
        <v>664.8</v>
      </c>
      <c r="D90" s="150">
        <f t="shared" si="4"/>
        <v>664.8</v>
      </c>
      <c r="E90" s="112">
        <f t="shared" si="3"/>
        <v>0</v>
      </c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6"/>
      <c r="Q90" s="135"/>
    </row>
    <row r="91" spans="1:17" ht="12.75" customHeight="1" x14ac:dyDescent="0.2">
      <c r="A91" s="101" t="s">
        <v>704</v>
      </c>
      <c r="B91" s="102" t="s">
        <v>893</v>
      </c>
      <c r="C91" s="149"/>
      <c r="D91" s="150">
        <f t="shared" si="4"/>
        <v>0</v>
      </c>
      <c r="E91" s="112">
        <f t="shared" si="3"/>
        <v>0</v>
      </c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6"/>
      <c r="Q91" s="135"/>
    </row>
    <row r="92" spans="1:17" ht="12.75" customHeight="1" x14ac:dyDescent="0.2">
      <c r="A92" s="101" t="s">
        <v>894</v>
      </c>
      <c r="B92" s="102" t="s">
        <v>3</v>
      </c>
      <c r="C92" s="149"/>
      <c r="D92" s="150">
        <f t="shared" si="4"/>
        <v>0</v>
      </c>
      <c r="E92" s="112">
        <f t="shared" si="3"/>
        <v>0</v>
      </c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6"/>
      <c r="Q92" s="135"/>
    </row>
    <row r="93" spans="1:17" ht="12.75" customHeight="1" x14ac:dyDescent="0.2">
      <c r="A93" s="101" t="s">
        <v>895</v>
      </c>
      <c r="B93" s="102" t="s">
        <v>896</v>
      </c>
      <c r="C93" s="149"/>
      <c r="D93" s="150">
        <f t="shared" si="4"/>
        <v>0</v>
      </c>
      <c r="E93" s="112">
        <f t="shared" si="3"/>
        <v>0</v>
      </c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6"/>
      <c r="Q93" s="135"/>
    </row>
    <row r="94" spans="1:17" ht="12.75" customHeight="1" x14ac:dyDescent="0.2">
      <c r="A94" s="101" t="s">
        <v>897</v>
      </c>
      <c r="B94" s="102" t="s">
        <v>92</v>
      </c>
      <c r="C94" s="149">
        <v>3132</v>
      </c>
      <c r="D94" s="150">
        <f t="shared" si="4"/>
        <v>3132</v>
      </c>
      <c r="E94" s="112">
        <f t="shared" si="3"/>
        <v>0</v>
      </c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6"/>
      <c r="Q94" s="135"/>
    </row>
    <row r="95" spans="1:17" ht="12.75" customHeight="1" x14ac:dyDescent="0.2">
      <c r="A95" s="101" t="s">
        <v>291</v>
      </c>
      <c r="B95" s="102" t="s">
        <v>14</v>
      </c>
      <c r="C95" s="149">
        <v>1840.54</v>
      </c>
      <c r="D95" s="150">
        <f t="shared" si="4"/>
        <v>1840.54</v>
      </c>
      <c r="E95" s="112">
        <f t="shared" si="3"/>
        <v>0</v>
      </c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6"/>
      <c r="Q95" s="135"/>
    </row>
    <row r="96" spans="1:17" ht="12.75" customHeight="1" x14ac:dyDescent="0.2">
      <c r="A96" s="101" t="s">
        <v>898</v>
      </c>
      <c r="B96" s="102" t="s">
        <v>960</v>
      </c>
      <c r="C96" s="149">
        <v>36758.449999999997</v>
      </c>
      <c r="D96" s="150">
        <f t="shared" si="4"/>
        <v>36758.449999999997</v>
      </c>
      <c r="E96" s="112">
        <f t="shared" si="3"/>
        <v>0</v>
      </c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6"/>
      <c r="Q96" s="135"/>
    </row>
    <row r="97" spans="1:17" ht="12.75" customHeight="1" x14ac:dyDescent="0.2">
      <c r="A97" s="101" t="s">
        <v>372</v>
      </c>
      <c r="B97" s="102" t="s">
        <v>164</v>
      </c>
      <c r="C97" s="149"/>
      <c r="D97" s="150">
        <f t="shared" si="4"/>
        <v>0</v>
      </c>
      <c r="E97" s="112">
        <f t="shared" si="3"/>
        <v>0</v>
      </c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6"/>
      <c r="Q97" s="135"/>
    </row>
    <row r="98" spans="1:17" ht="12.75" customHeight="1" x14ac:dyDescent="0.2">
      <c r="A98" s="101" t="s">
        <v>899</v>
      </c>
      <c r="B98" s="102" t="s">
        <v>15</v>
      </c>
      <c r="C98" s="149">
        <v>7260.21</v>
      </c>
      <c r="D98" s="150">
        <f t="shared" si="4"/>
        <v>7460.21</v>
      </c>
      <c r="E98" s="112">
        <f t="shared" si="3"/>
        <v>200</v>
      </c>
      <c r="F98" s="134"/>
      <c r="G98" s="134"/>
      <c r="H98" s="134"/>
      <c r="I98" s="134"/>
      <c r="J98" s="134"/>
      <c r="K98" s="134"/>
      <c r="L98" s="134">
        <v>100</v>
      </c>
      <c r="M98" s="134"/>
      <c r="N98" s="134">
        <v>50</v>
      </c>
      <c r="O98" s="134">
        <v>50</v>
      </c>
      <c r="P98" s="136"/>
      <c r="Q98" s="135"/>
    </row>
    <row r="99" spans="1:17" ht="12.75" customHeight="1" x14ac:dyDescent="0.2">
      <c r="A99" s="101" t="s">
        <v>900</v>
      </c>
      <c r="B99" s="102" t="s">
        <v>973</v>
      </c>
      <c r="C99" s="149"/>
      <c r="D99" s="150">
        <f t="shared" si="4"/>
        <v>0</v>
      </c>
      <c r="E99" s="112">
        <f t="shared" si="3"/>
        <v>0</v>
      </c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6"/>
      <c r="Q99" s="135"/>
    </row>
    <row r="100" spans="1:17" ht="12.75" customHeight="1" x14ac:dyDescent="0.2">
      <c r="A100" s="103" t="s">
        <v>968</v>
      </c>
      <c r="B100" s="98" t="s">
        <v>980</v>
      </c>
      <c r="C100" s="149"/>
      <c r="D100" s="150">
        <f t="shared" ref="D100:D116" si="5">+C100+E100</f>
        <v>0</v>
      </c>
      <c r="E100" s="112">
        <f t="shared" si="3"/>
        <v>0</v>
      </c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6"/>
      <c r="Q100" s="135"/>
    </row>
    <row r="101" spans="1:17" ht="12.75" customHeight="1" x14ac:dyDescent="0.2">
      <c r="A101" s="103" t="s">
        <v>969</v>
      </c>
      <c r="B101" s="98" t="s">
        <v>981</v>
      </c>
      <c r="C101" s="149"/>
      <c r="D101" s="150">
        <f t="shared" si="5"/>
        <v>0</v>
      </c>
      <c r="E101" s="112">
        <f t="shared" ref="E101:E116" si="6">SUM(F101:Q101)</f>
        <v>0</v>
      </c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6"/>
      <c r="Q101" s="135"/>
    </row>
    <row r="102" spans="1:17" ht="12.75" customHeight="1" x14ac:dyDescent="0.2">
      <c r="A102" s="103" t="s">
        <v>970</v>
      </c>
      <c r="B102" s="98" t="s">
        <v>982</v>
      </c>
      <c r="C102" s="149"/>
      <c r="D102" s="150">
        <f t="shared" si="5"/>
        <v>0</v>
      </c>
      <c r="E102" s="112">
        <f t="shared" si="6"/>
        <v>0</v>
      </c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6"/>
      <c r="Q102" s="135"/>
    </row>
    <row r="103" spans="1:17" ht="12.75" customHeight="1" x14ac:dyDescent="0.2">
      <c r="A103" s="103" t="s">
        <v>971</v>
      </c>
      <c r="B103" s="98" t="s">
        <v>983</v>
      </c>
      <c r="C103" s="149"/>
      <c r="D103" s="150">
        <f t="shared" si="5"/>
        <v>0</v>
      </c>
      <c r="E103" s="112">
        <f t="shared" si="6"/>
        <v>0</v>
      </c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6"/>
      <c r="Q103" s="135"/>
    </row>
    <row r="104" spans="1:17" ht="12.75" customHeight="1" x14ac:dyDescent="0.2">
      <c r="A104" s="103" t="s">
        <v>974</v>
      </c>
      <c r="B104" s="98" t="s">
        <v>984</v>
      </c>
      <c r="C104" s="149"/>
      <c r="D104" s="150">
        <f t="shared" si="5"/>
        <v>0</v>
      </c>
      <c r="E104" s="112">
        <f t="shared" si="6"/>
        <v>0</v>
      </c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6"/>
      <c r="Q104" s="135"/>
    </row>
    <row r="105" spans="1:17" ht="12.75" customHeight="1" x14ac:dyDescent="0.2">
      <c r="A105" s="103" t="s">
        <v>972</v>
      </c>
      <c r="B105" s="98" t="s">
        <v>985</v>
      </c>
      <c r="C105" s="149"/>
      <c r="D105" s="150">
        <f t="shared" si="5"/>
        <v>0</v>
      </c>
      <c r="E105" s="112">
        <f t="shared" si="6"/>
        <v>0</v>
      </c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6"/>
      <c r="Q105" s="135"/>
    </row>
    <row r="106" spans="1:17" ht="12.75" customHeight="1" x14ac:dyDescent="0.2">
      <c r="A106" s="103" t="s">
        <v>1005</v>
      </c>
      <c r="B106" s="98" t="s">
        <v>1006</v>
      </c>
      <c r="C106" s="149"/>
      <c r="D106" s="150">
        <f t="shared" si="5"/>
        <v>0</v>
      </c>
      <c r="E106" s="112">
        <f t="shared" si="6"/>
        <v>0</v>
      </c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6"/>
      <c r="Q106" s="135"/>
    </row>
    <row r="107" spans="1:17" ht="12.75" customHeight="1" x14ac:dyDescent="0.2">
      <c r="A107" s="103" t="s">
        <v>1004</v>
      </c>
      <c r="B107" s="98" t="s">
        <v>1003</v>
      </c>
      <c r="C107" s="149"/>
      <c r="D107" s="150">
        <f t="shared" si="5"/>
        <v>0</v>
      </c>
      <c r="E107" s="112">
        <f t="shared" si="6"/>
        <v>0</v>
      </c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6"/>
      <c r="Q107" s="135"/>
    </row>
    <row r="108" spans="1:17" ht="12.75" customHeight="1" x14ac:dyDescent="0.2">
      <c r="A108" s="101" t="s">
        <v>901</v>
      </c>
      <c r="B108" s="102" t="s">
        <v>902</v>
      </c>
      <c r="C108" s="149">
        <v>13496.26</v>
      </c>
      <c r="D108" s="150">
        <f t="shared" si="5"/>
        <v>13496.26</v>
      </c>
      <c r="E108" s="112">
        <f t="shared" si="6"/>
        <v>0</v>
      </c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6"/>
      <c r="Q108" s="135"/>
    </row>
    <row r="109" spans="1:17" ht="12.75" customHeight="1" x14ac:dyDescent="0.2">
      <c r="A109" s="101" t="s">
        <v>903</v>
      </c>
      <c r="B109" s="102" t="s">
        <v>739</v>
      </c>
      <c r="C109" s="149">
        <v>13460.34</v>
      </c>
      <c r="D109" s="150">
        <f t="shared" si="5"/>
        <v>13460.34</v>
      </c>
      <c r="E109" s="112">
        <f t="shared" si="6"/>
        <v>0</v>
      </c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6"/>
      <c r="Q109" s="135"/>
    </row>
    <row r="110" spans="1:17" ht="12.75" customHeight="1" x14ac:dyDescent="0.2">
      <c r="A110" s="104" t="s">
        <v>918</v>
      </c>
      <c r="B110" s="105" t="s">
        <v>961</v>
      </c>
      <c r="C110" s="149"/>
      <c r="D110" s="150">
        <f t="shared" si="5"/>
        <v>0</v>
      </c>
      <c r="E110" s="112">
        <f t="shared" si="6"/>
        <v>0</v>
      </c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6"/>
      <c r="Q110" s="135"/>
    </row>
    <row r="111" spans="1:17" ht="12.75" customHeight="1" x14ac:dyDescent="0.2">
      <c r="A111" s="104" t="s">
        <v>904</v>
      </c>
      <c r="B111" s="105" t="s">
        <v>905</v>
      </c>
      <c r="C111" s="149">
        <v>33749.96</v>
      </c>
      <c r="D111" s="150">
        <f t="shared" si="5"/>
        <v>33749.96</v>
      </c>
      <c r="E111" s="112">
        <f t="shared" si="6"/>
        <v>0</v>
      </c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6"/>
      <c r="Q111" s="135"/>
    </row>
    <row r="112" spans="1:17" ht="12.75" customHeight="1" x14ac:dyDescent="0.2">
      <c r="A112" s="104" t="s">
        <v>906</v>
      </c>
      <c r="B112" s="105" t="s">
        <v>907</v>
      </c>
      <c r="C112" s="149">
        <v>57451</v>
      </c>
      <c r="D112" s="150">
        <f t="shared" si="5"/>
        <v>57451</v>
      </c>
      <c r="E112" s="112">
        <f t="shared" si="6"/>
        <v>0</v>
      </c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6"/>
      <c r="Q112" s="135"/>
    </row>
    <row r="113" spans="1:17" ht="12.75" customHeight="1" x14ac:dyDescent="0.2">
      <c r="A113" s="104" t="s">
        <v>908</v>
      </c>
      <c r="B113" s="105" t="s">
        <v>909</v>
      </c>
      <c r="C113" s="149">
        <v>7772.03</v>
      </c>
      <c r="D113" s="150">
        <f t="shared" si="5"/>
        <v>7809.2199999999993</v>
      </c>
      <c r="E113" s="112">
        <f t="shared" si="6"/>
        <v>37.19</v>
      </c>
      <c r="F113" s="134"/>
      <c r="G113" s="134"/>
      <c r="H113" s="134"/>
      <c r="I113" s="134"/>
      <c r="J113" s="134"/>
      <c r="K113" s="134"/>
      <c r="L113" s="134"/>
      <c r="M113" s="134"/>
      <c r="N113" s="134">
        <v>37.19</v>
      </c>
      <c r="O113" s="134"/>
      <c r="P113" s="136"/>
      <c r="Q113" s="135"/>
    </row>
    <row r="114" spans="1:17" ht="12.75" customHeight="1" x14ac:dyDescent="0.2">
      <c r="A114" s="104" t="s">
        <v>910</v>
      </c>
      <c r="B114" s="105" t="s">
        <v>911</v>
      </c>
      <c r="C114" s="149">
        <v>355.51</v>
      </c>
      <c r="D114" s="150">
        <f t="shared" si="5"/>
        <v>355.51</v>
      </c>
      <c r="E114" s="112">
        <f t="shared" si="6"/>
        <v>0</v>
      </c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6"/>
      <c r="Q114" s="135"/>
    </row>
    <row r="115" spans="1:17" ht="12.75" customHeight="1" x14ac:dyDescent="0.2">
      <c r="A115" s="104" t="s">
        <v>912</v>
      </c>
      <c r="B115" s="105" t="s">
        <v>821</v>
      </c>
      <c r="C115" s="149">
        <v>31.24</v>
      </c>
      <c r="D115" s="150">
        <f t="shared" si="5"/>
        <v>31.24</v>
      </c>
      <c r="E115" s="112">
        <f t="shared" si="6"/>
        <v>0</v>
      </c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6"/>
      <c r="Q115" s="135"/>
    </row>
    <row r="116" spans="1:17" ht="12.75" customHeight="1" thickBot="1" x14ac:dyDescent="0.25">
      <c r="A116" s="106" t="s">
        <v>919</v>
      </c>
      <c r="B116" s="107" t="s">
        <v>920</v>
      </c>
      <c r="C116" s="151"/>
      <c r="D116" s="152">
        <f t="shared" si="5"/>
        <v>0</v>
      </c>
      <c r="E116" s="112">
        <f t="shared" si="6"/>
        <v>0</v>
      </c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8"/>
      <c r="Q116" s="139"/>
    </row>
    <row r="117" spans="1:17" ht="11.1" customHeight="1" x14ac:dyDescent="0.2">
      <c r="C117" s="122"/>
      <c r="D117" s="122"/>
      <c r="E117" s="110"/>
      <c r="F117" s="142"/>
      <c r="M117" s="123"/>
      <c r="N117" s="123"/>
    </row>
    <row r="118" spans="1:17" ht="11.1" customHeight="1" x14ac:dyDescent="0.2">
      <c r="C118" s="122"/>
      <c r="D118" s="122">
        <f>SUM(D36:D116)</f>
        <v>-31718.869999999937</v>
      </c>
      <c r="E118" s="111"/>
      <c r="F118" s="143">
        <f>SUM(F4:F116)</f>
        <v>49223.289999999746</v>
      </c>
      <c r="G118" s="123">
        <f>SUM(G4:G116)</f>
        <v>0</v>
      </c>
      <c r="H118" s="123">
        <f t="shared" ref="H118:Q118" si="7">SUM(H4:H116)</f>
        <v>0</v>
      </c>
      <c r="I118" s="123">
        <f t="shared" si="7"/>
        <v>0</v>
      </c>
      <c r="J118" s="123">
        <f t="shared" si="7"/>
        <v>0</v>
      </c>
      <c r="K118" s="123">
        <f t="shared" si="7"/>
        <v>0</v>
      </c>
      <c r="L118" s="123">
        <f t="shared" si="7"/>
        <v>0</v>
      </c>
      <c r="M118" s="123">
        <f t="shared" si="7"/>
        <v>0</v>
      </c>
      <c r="N118" s="123">
        <f t="shared" si="7"/>
        <v>0</v>
      </c>
      <c r="O118" s="123">
        <f t="shared" si="7"/>
        <v>0</v>
      </c>
      <c r="P118" s="123">
        <f t="shared" si="7"/>
        <v>0</v>
      </c>
      <c r="Q118" s="123">
        <f t="shared" si="7"/>
        <v>0</v>
      </c>
    </row>
    <row r="119" spans="1:17" ht="11.1" customHeight="1" x14ac:dyDescent="0.2">
      <c r="C119" s="122"/>
      <c r="D119" s="122"/>
      <c r="E119" s="111"/>
      <c r="F119" s="143"/>
      <c r="M119" s="123"/>
      <c r="N119" s="123"/>
    </row>
    <row r="120" spans="1:17" ht="11.1" customHeight="1" x14ac:dyDescent="0.2">
      <c r="C120" s="122"/>
      <c r="D120" s="122">
        <f>ROUND(SUM(D4:D116),2)</f>
        <v>0</v>
      </c>
      <c r="E120" s="111"/>
      <c r="F120" s="143"/>
      <c r="M120" s="123"/>
      <c r="N120" s="123"/>
    </row>
    <row r="121" spans="1:17" ht="11.1" customHeight="1" x14ac:dyDescent="0.2">
      <c r="C121" s="122"/>
      <c r="D121" s="122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3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 October</vt:lpstr>
      <vt:lpstr>TB</vt:lpstr>
      <vt:lpstr>Investment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 October'!Print_Area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Anna Mizerska</cp:lastModifiedBy>
  <cp:lastPrinted>2017-05-16T11:05:16Z</cp:lastPrinted>
  <dcterms:created xsi:type="dcterms:W3CDTF">2009-02-26T10:12:44Z</dcterms:created>
  <dcterms:modified xsi:type="dcterms:W3CDTF">2017-11-27T14:59:42Z</dcterms:modified>
</cp:coreProperties>
</file>