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TS\Committees\IAC\2018\Sept 2018\Pre Read\"/>
    </mc:Choice>
  </mc:AlternateContent>
  <bookViews>
    <workbookView xWindow="480" yWindow="90" windowWidth="20700" windowHeight="8450" activeTab="1"/>
  </bookViews>
  <sheets>
    <sheet name="Fee Calc 2018 " sheetId="5" r:id="rId1"/>
    <sheet name="Fee Tracker 2018 " sheetId="6" r:id="rId2"/>
    <sheet name="Fee Tracker 2017 " sheetId="4" r:id="rId3"/>
    <sheet name="Fee Tracker 2016" sheetId="2" r:id="rId4"/>
    <sheet name="Fee Calc 2017" sheetId="3" r:id="rId5"/>
  </sheets>
  <calcPr calcId="162913"/>
</workbook>
</file>

<file path=xl/calcChain.xml><?xml version="1.0" encoding="utf-8"?>
<calcChain xmlns="http://schemas.openxmlformats.org/spreadsheetml/2006/main">
  <c r="S17" i="5" l="1"/>
  <c r="S37" i="5" l="1"/>
  <c r="S21" i="5"/>
  <c r="S8" i="5"/>
  <c r="S15" i="5"/>
  <c r="S13" i="5"/>
  <c r="S10" i="5"/>
  <c r="C35" i="6" l="1"/>
  <c r="E16" i="5" l="1"/>
  <c r="S12" i="5" l="1"/>
  <c r="R12" i="5"/>
  <c r="Q12" i="5"/>
  <c r="P12" i="5"/>
  <c r="O12" i="5"/>
  <c r="G12" i="5"/>
  <c r="F12" i="5"/>
  <c r="E12" i="5"/>
  <c r="D12" i="5"/>
  <c r="M12" i="5"/>
  <c r="K12" i="5"/>
  <c r="L12" i="5"/>
  <c r="C7" i="6" l="1"/>
  <c r="C8" i="6"/>
  <c r="C9" i="6"/>
  <c r="C10" i="6"/>
  <c r="C11" i="6"/>
  <c r="C12" i="6"/>
  <c r="C13" i="6"/>
  <c r="C14" i="6"/>
  <c r="C16" i="6"/>
  <c r="C17" i="6"/>
  <c r="C18" i="6"/>
  <c r="C6" i="6"/>
  <c r="C23" i="6"/>
  <c r="C24" i="6"/>
  <c r="C25" i="6"/>
  <c r="C26" i="6"/>
  <c r="C27" i="6"/>
  <c r="C28" i="6"/>
  <c r="C29" i="6"/>
  <c r="C30" i="6"/>
  <c r="C31" i="6"/>
  <c r="C33" i="6"/>
  <c r="C34" i="6"/>
  <c r="C22" i="6"/>
  <c r="C19" i="6" l="1"/>
  <c r="S11" i="5"/>
  <c r="E19" i="5"/>
  <c r="E18" i="5"/>
  <c r="E14" i="5"/>
  <c r="E9" i="5" l="1"/>
  <c r="J50" i="5"/>
  <c r="J49" i="5"/>
  <c r="J48" i="5"/>
  <c r="J47" i="5"/>
  <c r="J46" i="5"/>
  <c r="J45" i="5"/>
  <c r="E35" i="5" l="1"/>
  <c r="S34" i="5"/>
  <c r="E34" i="5"/>
  <c r="E33" i="5"/>
  <c r="E32" i="5"/>
  <c r="E31" i="5"/>
  <c r="E30" i="5"/>
  <c r="E28" i="5"/>
  <c r="E27" i="5" l="1"/>
  <c r="D27" i="5"/>
  <c r="M26" i="5"/>
  <c r="E26" i="5"/>
  <c r="O25" i="5"/>
  <c r="S19" i="5" l="1"/>
  <c r="D28" i="5"/>
  <c r="D9" i="5" l="1"/>
  <c r="V26" i="6" l="1"/>
  <c r="V31" i="6"/>
  <c r="V7" i="6" l="1"/>
  <c r="V8" i="6"/>
  <c r="V9" i="6"/>
  <c r="V10" i="6"/>
  <c r="V12" i="6"/>
  <c r="V14" i="6"/>
  <c r="V18" i="6"/>
  <c r="H19" i="6"/>
  <c r="V23" i="6"/>
  <c r="V28" i="6"/>
  <c r="V16" i="6"/>
  <c r="AA35" i="6"/>
  <c r="Z35" i="6"/>
  <c r="Y35" i="6"/>
  <c r="X35" i="6"/>
  <c r="AB34" i="6"/>
  <c r="F34" i="6"/>
  <c r="AB33" i="6"/>
  <c r="V33" i="6" s="1"/>
  <c r="F33" i="6"/>
  <c r="AB32" i="6"/>
  <c r="F32" i="6"/>
  <c r="AB31" i="6"/>
  <c r="F31" i="6"/>
  <c r="AB30" i="6"/>
  <c r="F30" i="6"/>
  <c r="AB29" i="6"/>
  <c r="F29" i="6"/>
  <c r="AB28" i="6"/>
  <c r="F28" i="6"/>
  <c r="AB27" i="6"/>
  <c r="V27" i="6" s="1"/>
  <c r="F27" i="6"/>
  <c r="AB26" i="6"/>
  <c r="F26" i="6"/>
  <c r="AB25" i="6"/>
  <c r="F25" i="6"/>
  <c r="AB24" i="6"/>
  <c r="F24" i="6"/>
  <c r="AB23" i="6"/>
  <c r="F23" i="6"/>
  <c r="AB22" i="6"/>
  <c r="F22" i="6"/>
  <c r="AA19" i="6"/>
  <c r="Z19" i="6"/>
  <c r="Y19" i="6"/>
  <c r="X19" i="6"/>
  <c r="AB19" i="6" s="1"/>
  <c r="AB18" i="6"/>
  <c r="F18" i="6"/>
  <c r="AB17" i="6"/>
  <c r="V17" i="6" s="1"/>
  <c r="F17" i="6"/>
  <c r="AB16" i="6"/>
  <c r="F16" i="6"/>
  <c r="AB15" i="6"/>
  <c r="F15" i="6"/>
  <c r="AB14" i="6"/>
  <c r="F14" i="6"/>
  <c r="AB13" i="6"/>
  <c r="F13" i="6"/>
  <c r="AB12" i="6"/>
  <c r="F12" i="6"/>
  <c r="AB11" i="6"/>
  <c r="V11" i="6" s="1"/>
  <c r="F11" i="6"/>
  <c r="AB10" i="6"/>
  <c r="F10" i="6"/>
  <c r="AB9" i="6"/>
  <c r="F9" i="6"/>
  <c r="AB8" i="6"/>
  <c r="F8" i="6"/>
  <c r="AB7" i="6"/>
  <c r="F7" i="6"/>
  <c r="AB6" i="6"/>
  <c r="F6" i="6"/>
  <c r="Y36" i="6" l="1"/>
  <c r="AA36" i="6"/>
  <c r="X36" i="6"/>
  <c r="Z36" i="6"/>
  <c r="AB35" i="6"/>
  <c r="S18" i="5"/>
  <c r="U25" i="6" l="1"/>
  <c r="S19" i="6"/>
  <c r="U30" i="6"/>
  <c r="U28" i="6"/>
  <c r="U26" i="6"/>
  <c r="U23" i="6"/>
  <c r="R35" i="6"/>
  <c r="U29" i="6"/>
  <c r="U27" i="6"/>
  <c r="U24" i="6"/>
  <c r="U16" i="6"/>
  <c r="U11" i="6"/>
  <c r="U9" i="6"/>
  <c r="U17" i="6"/>
  <c r="U14" i="6"/>
  <c r="U12" i="6"/>
  <c r="U10" i="6"/>
  <c r="U34" i="6"/>
  <c r="U32" i="6"/>
  <c r="P35" i="6"/>
  <c r="U18" i="6"/>
  <c r="U7" i="6"/>
  <c r="O19" i="6"/>
  <c r="K35" i="6"/>
  <c r="S35" i="6"/>
  <c r="O35" i="6"/>
  <c r="I35" i="6"/>
  <c r="P19" i="6"/>
  <c r="L19" i="6"/>
  <c r="U33" i="6"/>
  <c r="U31" i="6"/>
  <c r="AB36" i="6"/>
  <c r="L35" i="6"/>
  <c r="L36" i="6" s="1"/>
  <c r="N35" i="6"/>
  <c r="H35" i="6"/>
  <c r="U22" i="6"/>
  <c r="U15" i="6"/>
  <c r="U13" i="6"/>
  <c r="U8" i="6"/>
  <c r="J19" i="6"/>
  <c r="Q19" i="6"/>
  <c r="M19" i="6"/>
  <c r="U6" i="6"/>
  <c r="Q35" i="6"/>
  <c r="M35" i="6"/>
  <c r="R19" i="6"/>
  <c r="N19" i="6"/>
  <c r="I19" i="6"/>
  <c r="J35" i="6"/>
  <c r="K19" i="6"/>
  <c r="D34" i="5"/>
  <c r="D33" i="5"/>
  <c r="D31" i="5"/>
  <c r="D30" i="5"/>
  <c r="D29" i="5"/>
  <c r="D23" i="5"/>
  <c r="D14" i="5"/>
  <c r="U19" i="6" l="1"/>
  <c r="R36" i="6"/>
  <c r="M36" i="6"/>
  <c r="Q36" i="6"/>
  <c r="J36" i="6"/>
  <c r="S36" i="6"/>
  <c r="U35" i="6"/>
  <c r="N36" i="6"/>
  <c r="O36" i="6"/>
  <c r="K36" i="6"/>
  <c r="P36" i="6"/>
  <c r="H36" i="6"/>
  <c r="I36" i="6"/>
  <c r="U36" i="6" l="1"/>
  <c r="D7" i="5"/>
  <c r="S24" i="5"/>
  <c r="B38" i="5" l="1"/>
  <c r="C21" i="5" l="1"/>
  <c r="E43" i="5"/>
  <c r="G43" i="5" s="1"/>
  <c r="B24" i="5" l="1"/>
  <c r="B25" i="5"/>
  <c r="B37" i="5" s="1"/>
  <c r="B26" i="5"/>
  <c r="B27" i="5"/>
  <c r="B28" i="5"/>
  <c r="B29" i="5"/>
  <c r="S29" i="5" s="1"/>
  <c r="B30" i="5"/>
  <c r="B31" i="5"/>
  <c r="B32" i="5"/>
  <c r="B33" i="5"/>
  <c r="B34" i="5"/>
  <c r="B35" i="5"/>
  <c r="B23" i="5"/>
  <c r="B8" i="5"/>
  <c r="B9" i="5"/>
  <c r="B21" i="5" s="1"/>
  <c r="B10" i="5"/>
  <c r="B11" i="5"/>
  <c r="B12" i="5"/>
  <c r="B13" i="5"/>
  <c r="B14" i="5"/>
  <c r="B15" i="5"/>
  <c r="B16" i="5"/>
  <c r="B17" i="5"/>
  <c r="B18" i="5"/>
  <c r="B19" i="5"/>
  <c r="B7" i="5"/>
  <c r="I50" i="5"/>
  <c r="G50" i="5"/>
  <c r="I49" i="5"/>
  <c r="G49" i="5"/>
  <c r="I48" i="5"/>
  <c r="G48" i="5"/>
  <c r="I47" i="5"/>
  <c r="G47" i="5"/>
  <c r="I46" i="5"/>
  <c r="G46" i="5"/>
  <c r="I45" i="5"/>
  <c r="G45" i="5"/>
  <c r="I44" i="5"/>
  <c r="J44" i="5" s="1"/>
  <c r="G44" i="5"/>
  <c r="I43" i="5"/>
  <c r="C37" i="5"/>
  <c r="K35" i="5"/>
  <c r="L35" i="5" s="1"/>
  <c r="D35" i="5"/>
  <c r="K34" i="5"/>
  <c r="L34" i="5" s="1"/>
  <c r="K33" i="5"/>
  <c r="L33" i="5" s="1"/>
  <c r="K32" i="5"/>
  <c r="L32" i="5" s="1"/>
  <c r="D32" i="5"/>
  <c r="K31" i="5"/>
  <c r="L31" i="5" s="1"/>
  <c r="K30" i="5"/>
  <c r="L30" i="5" s="1"/>
  <c r="K29" i="5"/>
  <c r="L29" i="5" s="1"/>
  <c r="K28" i="5"/>
  <c r="L28" i="5" s="1"/>
  <c r="K27" i="5"/>
  <c r="L27" i="5" s="1"/>
  <c r="K26" i="5"/>
  <c r="L26" i="5" s="1"/>
  <c r="D26" i="5"/>
  <c r="K25" i="5"/>
  <c r="L25" i="5" s="1"/>
  <c r="D25" i="5"/>
  <c r="R24" i="5"/>
  <c r="N24" i="5"/>
  <c r="M24" i="5"/>
  <c r="K23" i="5"/>
  <c r="L23" i="5" s="1"/>
  <c r="N22" i="5"/>
  <c r="N21" i="5"/>
  <c r="C38" i="5"/>
  <c r="N20" i="5"/>
  <c r="K19" i="5"/>
  <c r="L19" i="5" s="1"/>
  <c r="D19" i="5"/>
  <c r="K18" i="5"/>
  <c r="L18" i="5" s="1"/>
  <c r="D18" i="5"/>
  <c r="K17" i="5"/>
  <c r="L17" i="5" s="1"/>
  <c r="D17" i="5"/>
  <c r="K16" i="5"/>
  <c r="L16" i="5" s="1"/>
  <c r="D16" i="5"/>
  <c r="N15" i="5"/>
  <c r="K14" i="5"/>
  <c r="L14" i="5" s="1"/>
  <c r="L13" i="5"/>
  <c r="K13" i="5"/>
  <c r="D13" i="5"/>
  <c r="N12" i="5"/>
  <c r="K11" i="5"/>
  <c r="L11" i="5" s="1"/>
  <c r="D11" i="5"/>
  <c r="N10" i="5"/>
  <c r="L9" i="5"/>
  <c r="K9" i="5"/>
  <c r="K8" i="5"/>
  <c r="L8" i="5" s="1"/>
  <c r="E8" i="5"/>
  <c r="D8" i="5"/>
  <c r="K7" i="5"/>
  <c r="L7" i="5" s="1"/>
  <c r="F33" i="5" l="1"/>
  <c r="G33" i="5" s="1"/>
  <c r="E7" i="5"/>
  <c r="F19" i="5"/>
  <c r="G19" i="5" s="1"/>
  <c r="F9" i="5"/>
  <c r="G9" i="5" s="1"/>
  <c r="M9" i="5" s="1"/>
  <c r="F14" i="5"/>
  <c r="G14" i="5" s="1"/>
  <c r="F16" i="5"/>
  <c r="G16" i="5" s="1"/>
  <c r="E11" i="5"/>
  <c r="F11" i="5" s="1"/>
  <c r="G11" i="5" s="1"/>
  <c r="E13" i="5"/>
  <c r="F13" i="5" s="1"/>
  <c r="G13" i="5" s="1"/>
  <c r="F8" i="5"/>
  <c r="G8" i="5" s="1"/>
  <c r="M8" i="5" s="1"/>
  <c r="F30" i="5"/>
  <c r="G30" i="5" s="1"/>
  <c r="N30" i="5" s="1"/>
  <c r="F7" i="5"/>
  <c r="G7" i="5" s="1"/>
  <c r="F31" i="5" l="1"/>
  <c r="G31" i="5" s="1"/>
  <c r="N31" i="5" s="1"/>
  <c r="O31" i="5" s="1"/>
  <c r="E23" i="5"/>
  <c r="F18" i="5"/>
  <c r="G18" i="5" s="1"/>
  <c r="M14" i="5"/>
  <c r="N14" i="5"/>
  <c r="O14" i="5" s="1"/>
  <c r="R14" i="5" s="1"/>
  <c r="F26" i="5"/>
  <c r="G26" i="5" s="1"/>
  <c r="E17" i="5"/>
  <c r="F17" i="5" s="1"/>
  <c r="G17" i="5" s="1"/>
  <c r="M17" i="5" s="1"/>
  <c r="F32" i="5"/>
  <c r="G32" i="5" s="1"/>
  <c r="N32" i="5" s="1"/>
  <c r="O32" i="5" s="1"/>
  <c r="S32" i="5" s="1"/>
  <c r="N13" i="5"/>
  <c r="O13" i="5" s="1"/>
  <c r="M13" i="5"/>
  <c r="M11" i="5"/>
  <c r="N11" i="5"/>
  <c r="O11" i="5" s="1"/>
  <c r="N7" i="5"/>
  <c r="O7" i="5" s="1"/>
  <c r="M7" i="5"/>
  <c r="P13" i="5"/>
  <c r="Q13" i="5" s="1"/>
  <c r="N33" i="5"/>
  <c r="O33" i="5" s="1"/>
  <c r="M19" i="5"/>
  <c r="N16" i="5"/>
  <c r="O16" i="5" s="1"/>
  <c r="S16" i="5" s="1"/>
  <c r="C15" i="6" s="1"/>
  <c r="M33" i="5"/>
  <c r="N19" i="5"/>
  <c r="O19" i="5" s="1"/>
  <c r="O30" i="5"/>
  <c r="M30" i="5"/>
  <c r="M16" i="5"/>
  <c r="N9" i="5"/>
  <c r="O9" i="5" s="1"/>
  <c r="S9" i="5" s="1"/>
  <c r="O8" i="5"/>
  <c r="N8" i="5"/>
  <c r="N18" i="5" l="1"/>
  <c r="O18" i="5" s="1"/>
  <c r="P18" i="5" s="1"/>
  <c r="Q18" i="5" s="1"/>
  <c r="F34" i="5"/>
  <c r="G34" i="5" s="1"/>
  <c r="M32" i="5"/>
  <c r="N26" i="5"/>
  <c r="O26" i="5" s="1"/>
  <c r="P26" i="5" s="1"/>
  <c r="Q26" i="5" s="1"/>
  <c r="M31" i="5"/>
  <c r="P14" i="5"/>
  <c r="Q14" i="5" s="1"/>
  <c r="S14" i="5"/>
  <c r="V13" i="6" s="1"/>
  <c r="N17" i="5"/>
  <c r="O17" i="5" s="1"/>
  <c r="R17" i="5" s="1"/>
  <c r="E25" i="5"/>
  <c r="F25" i="5" s="1"/>
  <c r="G25" i="5" s="1"/>
  <c r="M25" i="5" s="1"/>
  <c r="F23" i="5"/>
  <c r="G23" i="5" s="1"/>
  <c r="N23" i="5" s="1"/>
  <c r="O23" i="5" s="1"/>
  <c r="F28" i="5"/>
  <c r="G28" i="5" s="1"/>
  <c r="M28" i="5" s="1"/>
  <c r="F27" i="5"/>
  <c r="G27" i="5" s="1"/>
  <c r="N27" i="5" s="1"/>
  <c r="O27" i="5" s="1"/>
  <c r="S27" i="5" s="1"/>
  <c r="R11" i="5"/>
  <c r="P11" i="5"/>
  <c r="Q11" i="5" s="1"/>
  <c r="V15" i="6"/>
  <c r="P16" i="5"/>
  <c r="Q16" i="5" s="1"/>
  <c r="R16" i="5"/>
  <c r="R32" i="5"/>
  <c r="P32" i="5"/>
  <c r="Q32" i="5" s="1"/>
  <c r="S31" i="5"/>
  <c r="V30" i="6" s="1"/>
  <c r="R31" i="5"/>
  <c r="P31" i="5"/>
  <c r="Q31" i="5" s="1"/>
  <c r="S26" i="5"/>
  <c r="V25" i="6" s="1"/>
  <c r="P8" i="5"/>
  <c r="Q8" i="5" s="1"/>
  <c r="P9" i="5"/>
  <c r="Q9" i="5" s="1"/>
  <c r="R9" i="5"/>
  <c r="R19" i="5"/>
  <c r="P19" i="5"/>
  <c r="Q19" i="5" s="1"/>
  <c r="S33" i="5"/>
  <c r="P33" i="5"/>
  <c r="Q33" i="5" s="1"/>
  <c r="R33" i="5"/>
  <c r="R7" i="5"/>
  <c r="P7" i="5"/>
  <c r="Q7" i="5" s="1"/>
  <c r="S7" i="5"/>
  <c r="R30" i="5"/>
  <c r="P30" i="5"/>
  <c r="Q30" i="5" s="1"/>
  <c r="S30" i="5"/>
  <c r="V29" i="6" s="1"/>
  <c r="V32" i="6" l="1"/>
  <c r="C32" i="6"/>
  <c r="R26" i="5"/>
  <c r="N34" i="5"/>
  <c r="O34" i="5" s="1"/>
  <c r="P34" i="5" s="1"/>
  <c r="Q34" i="5" s="1"/>
  <c r="M34" i="5"/>
  <c r="E29" i="5"/>
  <c r="F29" i="5" s="1"/>
  <c r="G29" i="5" s="1"/>
  <c r="M29" i="5" s="1"/>
  <c r="M23" i="5"/>
  <c r="P17" i="5"/>
  <c r="Q17" i="5" s="1"/>
  <c r="N25" i="5"/>
  <c r="R25" i="5" s="1"/>
  <c r="N28" i="5"/>
  <c r="O28" i="5" s="1"/>
  <c r="R28" i="5" s="1"/>
  <c r="M27" i="5"/>
  <c r="S25" i="5"/>
  <c r="V24" i="6" s="1"/>
  <c r="P27" i="5"/>
  <c r="Q27" i="5" s="1"/>
  <c r="R27" i="5"/>
  <c r="S23" i="5"/>
  <c r="P23" i="5"/>
  <c r="Q23" i="5" s="1"/>
  <c r="R23" i="5"/>
  <c r="V6" i="6" l="1"/>
  <c r="V19" i="6" s="1"/>
  <c r="N29" i="5"/>
  <c r="O29" i="5" s="1"/>
  <c r="P29" i="5" s="1"/>
  <c r="Q29" i="5" s="1"/>
  <c r="R34" i="5"/>
  <c r="F35" i="5"/>
  <c r="G35" i="5" s="1"/>
  <c r="M35" i="5" s="1"/>
  <c r="V22" i="6"/>
  <c r="P25" i="5"/>
  <c r="Q25" i="5" s="1"/>
  <c r="R29" i="5"/>
  <c r="P28" i="5"/>
  <c r="Q28" i="5" s="1"/>
  <c r="S28" i="5"/>
  <c r="N35" i="5" l="1"/>
  <c r="O35" i="5" s="1"/>
  <c r="V16" i="4"/>
  <c r="C19" i="4"/>
  <c r="S35" i="5" l="1"/>
  <c r="P35" i="5"/>
  <c r="Q35" i="5" s="1"/>
  <c r="R35" i="5"/>
  <c r="V17" i="4"/>
  <c r="S38" i="5" l="1"/>
  <c r="AB16" i="4"/>
  <c r="V34" i="6" l="1"/>
  <c r="V35" i="6" s="1"/>
  <c r="V36" i="6" s="1"/>
  <c r="C36" i="6"/>
  <c r="C35" i="4"/>
  <c r="K8" i="3" l="1"/>
  <c r="L8" i="3" s="1"/>
  <c r="E8" i="3"/>
  <c r="D8" i="3"/>
  <c r="F8" i="3" s="1"/>
  <c r="G8" i="3" s="1"/>
  <c r="M8" i="3" l="1"/>
  <c r="G46" i="3"/>
  <c r="S18" i="3" l="1"/>
  <c r="K18" i="3"/>
  <c r="L18" i="3" s="1"/>
  <c r="D18" i="3"/>
  <c r="D30" i="3" l="1"/>
  <c r="AB7" i="4" l="1"/>
  <c r="AB8" i="4"/>
  <c r="AB9" i="4"/>
  <c r="AB10" i="4"/>
  <c r="AB11" i="4"/>
  <c r="AB12" i="4"/>
  <c r="AB13" i="4"/>
  <c r="AB14" i="4"/>
  <c r="AB15" i="4"/>
  <c r="AB17" i="4"/>
  <c r="AB18" i="4"/>
  <c r="AB6" i="4"/>
  <c r="AB22" i="4"/>
  <c r="AB23" i="4"/>
  <c r="AB24" i="4"/>
  <c r="AB25" i="4"/>
  <c r="AB26" i="4"/>
  <c r="AB27" i="4"/>
  <c r="AB28" i="4"/>
  <c r="AB29" i="4"/>
  <c r="AB30" i="4"/>
  <c r="AB31" i="4"/>
  <c r="AB32" i="4"/>
  <c r="AB33" i="4"/>
  <c r="AB34" i="4"/>
  <c r="V31" i="4"/>
  <c r="V35" i="4" s="1"/>
  <c r="V19" i="4"/>
  <c r="F23" i="4"/>
  <c r="H23" i="4" s="1"/>
  <c r="F24" i="4"/>
  <c r="P24" i="4" s="1"/>
  <c r="F25" i="4"/>
  <c r="F26" i="4"/>
  <c r="H26" i="4" s="1"/>
  <c r="F27" i="4"/>
  <c r="F28" i="4"/>
  <c r="R28" i="4" s="1"/>
  <c r="F29" i="4"/>
  <c r="R29" i="4" s="1"/>
  <c r="F30" i="4"/>
  <c r="F31" i="4"/>
  <c r="F32" i="4"/>
  <c r="S32" i="4" s="1"/>
  <c r="F33" i="4"/>
  <c r="O33" i="4" s="1"/>
  <c r="F34" i="4"/>
  <c r="R34" i="4" s="1"/>
  <c r="F22" i="4"/>
  <c r="H22" i="4" s="1"/>
  <c r="F7" i="4"/>
  <c r="F8" i="4"/>
  <c r="F9" i="4"/>
  <c r="S9" i="4" s="1"/>
  <c r="F10" i="4"/>
  <c r="F11" i="4"/>
  <c r="I11" i="4" s="1"/>
  <c r="F12" i="4"/>
  <c r="F13" i="4"/>
  <c r="S13" i="4" s="1"/>
  <c r="F14" i="4"/>
  <c r="S14" i="4" s="1"/>
  <c r="F15" i="4"/>
  <c r="R15" i="4" s="1"/>
  <c r="F16" i="4"/>
  <c r="F17" i="4"/>
  <c r="Q17" i="4" s="1"/>
  <c r="F18" i="4"/>
  <c r="Q18" i="4" s="1"/>
  <c r="F6" i="4"/>
  <c r="S6" i="4" s="1"/>
  <c r="H25" i="4"/>
  <c r="H27" i="4"/>
  <c r="H24" i="4"/>
  <c r="K31" i="4"/>
  <c r="Z35" i="4"/>
  <c r="Y35" i="4"/>
  <c r="X35" i="4"/>
  <c r="C36" i="4"/>
  <c r="R31" i="4"/>
  <c r="R25" i="4"/>
  <c r="P25" i="4"/>
  <c r="L25" i="4"/>
  <c r="J25" i="4"/>
  <c r="R24" i="4"/>
  <c r="M24" i="4"/>
  <c r="Z19" i="4"/>
  <c r="Y19" i="4"/>
  <c r="X19" i="4"/>
  <c r="Q16" i="4"/>
  <c r="R11" i="4"/>
  <c r="S7" i="4"/>
  <c r="S26" i="4" l="1"/>
  <c r="J23" i="4"/>
  <c r="P23" i="4"/>
  <c r="L23" i="4"/>
  <c r="R23" i="4"/>
  <c r="R33" i="4"/>
  <c r="I22" i="4"/>
  <c r="S22" i="4"/>
  <c r="J29" i="4"/>
  <c r="H28" i="4"/>
  <c r="X36" i="4"/>
  <c r="K24" i="4"/>
  <c r="O24" i="4"/>
  <c r="J24" i="4"/>
  <c r="L24" i="4"/>
  <c r="N24" i="4"/>
  <c r="Q24" i="4"/>
  <c r="S24" i="4"/>
  <c r="I23" i="4"/>
  <c r="K23" i="4"/>
  <c r="M23" i="4"/>
  <c r="Q23" i="4"/>
  <c r="S23" i="4"/>
  <c r="K25" i="4"/>
  <c r="M25" i="4"/>
  <c r="Q25" i="4"/>
  <c r="S25" i="4"/>
  <c r="R27" i="4"/>
  <c r="M27" i="4"/>
  <c r="Z36" i="4"/>
  <c r="U25" i="4"/>
  <c r="H14" i="4"/>
  <c r="L7" i="4"/>
  <c r="P14" i="4"/>
  <c r="H7" i="4"/>
  <c r="P7" i="4"/>
  <c r="L14" i="4"/>
  <c r="H6" i="4"/>
  <c r="L26" i="4"/>
  <c r="P26" i="4"/>
  <c r="J31" i="4"/>
  <c r="N26" i="4"/>
  <c r="R26" i="4"/>
  <c r="L27" i="4"/>
  <c r="Q27" i="4"/>
  <c r="H31" i="4"/>
  <c r="M31" i="4"/>
  <c r="H33" i="4"/>
  <c r="O27" i="4"/>
  <c r="S27" i="4"/>
  <c r="O31" i="4"/>
  <c r="S31" i="4"/>
  <c r="J33" i="4"/>
  <c r="N6" i="4"/>
  <c r="R6" i="4"/>
  <c r="N13" i="4"/>
  <c r="R13" i="4"/>
  <c r="L6" i="4"/>
  <c r="P6" i="4"/>
  <c r="J7" i="4"/>
  <c r="N7" i="4"/>
  <c r="R7" i="4"/>
  <c r="H11" i="4"/>
  <c r="M11" i="4"/>
  <c r="Q11" i="4"/>
  <c r="H13" i="4"/>
  <c r="L13" i="4"/>
  <c r="P13" i="4"/>
  <c r="J14" i="4"/>
  <c r="R14" i="4"/>
  <c r="H15" i="4"/>
  <c r="M15" i="4"/>
  <c r="Q15" i="4"/>
  <c r="K11" i="4"/>
  <c r="S11" i="4"/>
  <c r="J15" i="4"/>
  <c r="S15" i="4"/>
  <c r="K8" i="4"/>
  <c r="K9" i="4"/>
  <c r="O9" i="4"/>
  <c r="S10" i="4"/>
  <c r="Q10" i="4"/>
  <c r="O10" i="4"/>
  <c r="K10" i="4"/>
  <c r="P10" i="4"/>
  <c r="S12" i="4"/>
  <c r="Q12" i="4"/>
  <c r="O12" i="4"/>
  <c r="M12" i="4"/>
  <c r="K12" i="4"/>
  <c r="I12" i="4"/>
  <c r="L12" i="4"/>
  <c r="P12" i="4"/>
  <c r="I6" i="4"/>
  <c r="K6" i="4"/>
  <c r="M6" i="4"/>
  <c r="O6" i="4"/>
  <c r="Q6" i="4"/>
  <c r="I7" i="4"/>
  <c r="K7" i="4"/>
  <c r="M7" i="4"/>
  <c r="Q7" i="4"/>
  <c r="H8" i="4"/>
  <c r="J8" i="4"/>
  <c r="L8" i="4"/>
  <c r="N8" i="4"/>
  <c r="P8" i="4"/>
  <c r="R8" i="4"/>
  <c r="H9" i="4"/>
  <c r="J9" i="4"/>
  <c r="L9" i="4"/>
  <c r="P9" i="4"/>
  <c r="R9" i="4"/>
  <c r="H10" i="4"/>
  <c r="J10" i="4"/>
  <c r="L10" i="4"/>
  <c r="N10" i="4"/>
  <c r="R10" i="4"/>
  <c r="N12" i="4"/>
  <c r="R12" i="4"/>
  <c r="I16" i="4"/>
  <c r="M16" i="4"/>
  <c r="I17" i="4"/>
  <c r="M17" i="4"/>
  <c r="I18" i="4"/>
  <c r="M18" i="4"/>
  <c r="I8" i="4"/>
  <c r="M8" i="4"/>
  <c r="Q8" i="4"/>
  <c r="I9" i="4"/>
  <c r="M9" i="4"/>
  <c r="Q9" i="4"/>
  <c r="I10" i="4"/>
  <c r="R16" i="4"/>
  <c r="P16" i="4"/>
  <c r="N16" i="4"/>
  <c r="L16" i="4"/>
  <c r="J16" i="4"/>
  <c r="H16" i="4"/>
  <c r="K16" i="4"/>
  <c r="O16" i="4"/>
  <c r="S16" i="4"/>
  <c r="R17" i="4"/>
  <c r="N17" i="4"/>
  <c r="L17" i="4"/>
  <c r="J17" i="4"/>
  <c r="H17" i="4"/>
  <c r="K17" i="4"/>
  <c r="O17" i="4"/>
  <c r="S17" i="4"/>
  <c r="R18" i="4"/>
  <c r="N18" i="4"/>
  <c r="L18" i="4"/>
  <c r="J18" i="4"/>
  <c r="H18" i="4"/>
  <c r="K18" i="4"/>
  <c r="O18" i="4"/>
  <c r="S18" i="4"/>
  <c r="J11" i="4"/>
  <c r="L11" i="4"/>
  <c r="N11" i="4"/>
  <c r="P11" i="4"/>
  <c r="I13" i="4"/>
  <c r="K13" i="4"/>
  <c r="M13" i="4"/>
  <c r="O13" i="4"/>
  <c r="Q13" i="4"/>
  <c r="I14" i="4"/>
  <c r="K14" i="4"/>
  <c r="M14" i="4"/>
  <c r="O14" i="4"/>
  <c r="Q14" i="4"/>
  <c r="I15" i="4"/>
  <c r="K15" i="4"/>
  <c r="N15" i="4"/>
  <c r="P15" i="4"/>
  <c r="N22" i="4"/>
  <c r="P22" i="4"/>
  <c r="R22" i="4"/>
  <c r="V36" i="4"/>
  <c r="Y36" i="4"/>
  <c r="J22" i="4"/>
  <c r="M22" i="4"/>
  <c r="O22" i="4"/>
  <c r="Q22" i="4"/>
  <c r="I28" i="4"/>
  <c r="K28" i="4"/>
  <c r="M28" i="4"/>
  <c r="O28" i="4"/>
  <c r="Q28" i="4"/>
  <c r="S28" i="4"/>
  <c r="I29" i="4"/>
  <c r="M29" i="4"/>
  <c r="O29" i="4"/>
  <c r="Q29" i="4"/>
  <c r="S29" i="4"/>
  <c r="I30" i="4"/>
  <c r="K30" i="4"/>
  <c r="M30" i="4"/>
  <c r="P30" i="4"/>
  <c r="R30" i="4"/>
  <c r="I32" i="4"/>
  <c r="L32" i="4"/>
  <c r="N32" i="4"/>
  <c r="P32" i="4"/>
  <c r="R32" i="4"/>
  <c r="L33" i="4"/>
  <c r="N33" i="4"/>
  <c r="Q33" i="4"/>
  <c r="S33" i="4"/>
  <c r="K34" i="4"/>
  <c r="M34" i="4"/>
  <c r="O34" i="4"/>
  <c r="Q34" i="4"/>
  <c r="S34" i="4"/>
  <c r="K26" i="4"/>
  <c r="M26" i="4"/>
  <c r="Q26" i="4"/>
  <c r="I27" i="4"/>
  <c r="K27" i="4"/>
  <c r="N27" i="4"/>
  <c r="P27" i="4"/>
  <c r="L28" i="4"/>
  <c r="N28" i="4"/>
  <c r="P28" i="4"/>
  <c r="H29" i="4"/>
  <c r="L29" i="4"/>
  <c r="N29" i="4"/>
  <c r="P29" i="4"/>
  <c r="H30" i="4"/>
  <c r="J30" i="4"/>
  <c r="L30" i="4"/>
  <c r="N30" i="4"/>
  <c r="Q30" i="4"/>
  <c r="I31" i="4"/>
  <c r="L31" i="4"/>
  <c r="N31" i="4"/>
  <c r="P31" i="4"/>
  <c r="H32" i="4"/>
  <c r="K32" i="4"/>
  <c r="M32" i="4"/>
  <c r="O32" i="4"/>
  <c r="Q32" i="4"/>
  <c r="I33" i="4"/>
  <c r="K33" i="4"/>
  <c r="P33" i="4"/>
  <c r="H34" i="4"/>
  <c r="J34" i="4"/>
  <c r="L34" i="4"/>
  <c r="N34" i="4"/>
  <c r="P34" i="4"/>
  <c r="U24" i="4" l="1"/>
  <c r="U23" i="4"/>
  <c r="J19" i="4"/>
  <c r="U15" i="4"/>
  <c r="U33" i="4"/>
  <c r="U31" i="4"/>
  <c r="U27" i="4"/>
  <c r="U26" i="4"/>
  <c r="S35" i="4"/>
  <c r="N19" i="4"/>
  <c r="U7" i="4"/>
  <c r="U14" i="4"/>
  <c r="L19" i="4"/>
  <c r="P19" i="4"/>
  <c r="H19" i="4"/>
  <c r="S19" i="4"/>
  <c r="U13" i="4"/>
  <c r="U6" i="4"/>
  <c r="R19" i="4"/>
  <c r="U32" i="4"/>
  <c r="I35" i="4"/>
  <c r="J35" i="4"/>
  <c r="P35" i="4"/>
  <c r="U34" i="4"/>
  <c r="U30" i="4"/>
  <c r="U29" i="4"/>
  <c r="K35" i="4"/>
  <c r="Q35" i="4"/>
  <c r="M35" i="4"/>
  <c r="R35" i="4"/>
  <c r="N35" i="4"/>
  <c r="H35" i="4"/>
  <c r="U22" i="4"/>
  <c r="U17" i="4"/>
  <c r="U11" i="4"/>
  <c r="O19" i="4"/>
  <c r="K19" i="4"/>
  <c r="U12" i="4"/>
  <c r="U28" i="4"/>
  <c r="O35" i="4"/>
  <c r="L35" i="4"/>
  <c r="L36" i="4" s="1"/>
  <c r="U18" i="4"/>
  <c r="U16" i="4"/>
  <c r="U10" i="4"/>
  <c r="U9" i="4"/>
  <c r="U8" i="4"/>
  <c r="Q19" i="4"/>
  <c r="M19" i="4"/>
  <c r="M36" i="4" s="1"/>
  <c r="I19" i="4"/>
  <c r="K13" i="3"/>
  <c r="L13" i="3" s="1"/>
  <c r="D13" i="3"/>
  <c r="E13" i="3" s="1"/>
  <c r="M13" i="3" l="1"/>
  <c r="O36" i="4"/>
  <c r="S36" i="4"/>
  <c r="J36" i="4"/>
  <c r="N36" i="4"/>
  <c r="P36" i="4"/>
  <c r="H36" i="4"/>
  <c r="R36" i="4"/>
  <c r="Q36" i="4"/>
  <c r="U19" i="4"/>
  <c r="AA19" i="4"/>
  <c r="AB19" i="4" s="1"/>
  <c r="U35" i="4"/>
  <c r="K36" i="4"/>
  <c r="I36" i="4"/>
  <c r="F13" i="3"/>
  <c r="G13" i="3" s="1"/>
  <c r="AA35" i="4" l="1"/>
  <c r="U36" i="4"/>
  <c r="N8" i="3"/>
  <c r="O8" i="3" s="1"/>
  <c r="P8" i="3" s="1"/>
  <c r="Q8" i="3" s="1"/>
  <c r="N10" i="3"/>
  <c r="N12" i="3"/>
  <c r="N13" i="3"/>
  <c r="O13" i="3" s="1"/>
  <c r="N15" i="3"/>
  <c r="N20" i="3"/>
  <c r="N21" i="3"/>
  <c r="N22" i="3"/>
  <c r="N24" i="3"/>
  <c r="AA36" i="4" l="1"/>
  <c r="AB36" i="4" s="1"/>
  <c r="AB35" i="4"/>
  <c r="S13" i="3"/>
  <c r="P13" i="3"/>
  <c r="Q13" i="3" s="1"/>
  <c r="S8" i="3"/>
  <c r="R24" i="3"/>
  <c r="D16" i="3"/>
  <c r="D11" i="3"/>
  <c r="K7" i="3"/>
  <c r="M24" i="3" l="1"/>
  <c r="G50" i="3" l="1"/>
  <c r="I44" i="3"/>
  <c r="J44" i="3" s="1"/>
  <c r="I45" i="3"/>
  <c r="I46" i="3"/>
  <c r="I47" i="3"/>
  <c r="I48" i="3"/>
  <c r="I49" i="3"/>
  <c r="I50" i="3"/>
  <c r="I43" i="3"/>
  <c r="D35" i="3"/>
  <c r="E14" i="3" l="1"/>
  <c r="J45" i="3"/>
  <c r="J46" i="3" l="1"/>
  <c r="E18" i="3"/>
  <c r="F18" i="3" s="1"/>
  <c r="G18" i="3" s="1"/>
  <c r="D17" i="3"/>
  <c r="D9" i="3"/>
  <c r="D7" i="3"/>
  <c r="C37" i="3"/>
  <c r="B37" i="3"/>
  <c r="C21" i="3"/>
  <c r="B21" i="3"/>
  <c r="B38" i="3" s="1"/>
  <c r="N18" i="3" l="1"/>
  <c r="O18" i="3" s="1"/>
  <c r="P18" i="3" s="1"/>
  <c r="Q18" i="3" s="1"/>
  <c r="C38" i="3"/>
  <c r="J47" i="3"/>
  <c r="J48" i="3" s="1"/>
  <c r="J49" i="3" s="1"/>
  <c r="S34" i="3"/>
  <c r="K34" i="3"/>
  <c r="L34" i="3" s="1"/>
  <c r="D34" i="3"/>
  <c r="K33" i="3"/>
  <c r="L33" i="3" s="1"/>
  <c r="D33" i="3"/>
  <c r="K32" i="3"/>
  <c r="L32" i="3" s="1"/>
  <c r="D32" i="3"/>
  <c r="K31" i="3"/>
  <c r="L31" i="3" s="1"/>
  <c r="D31" i="3"/>
  <c r="K30" i="3"/>
  <c r="L30" i="3" s="1"/>
  <c r="S29" i="3"/>
  <c r="K29" i="3"/>
  <c r="L29" i="3" s="1"/>
  <c r="D29" i="3"/>
  <c r="J50" i="3" l="1"/>
  <c r="E35" i="3"/>
  <c r="F35" i="3" s="1"/>
  <c r="S11" i="3"/>
  <c r="K35" i="3"/>
  <c r="L35" i="3" l="1"/>
  <c r="K28" i="3"/>
  <c r="D28" i="3"/>
  <c r="K27" i="3"/>
  <c r="L27" i="3" s="1"/>
  <c r="D27" i="3"/>
  <c r="L28" i="3" l="1"/>
  <c r="K26" i="3"/>
  <c r="L26" i="3" s="1"/>
  <c r="D26" i="3"/>
  <c r="K25" i="3"/>
  <c r="L25" i="3" s="1"/>
  <c r="D25" i="3"/>
  <c r="K23" i="3"/>
  <c r="L23" i="3" s="1"/>
  <c r="D23" i="3"/>
  <c r="S19" i="3"/>
  <c r="S17" i="3"/>
  <c r="K19" i="3"/>
  <c r="L19" i="3" s="1"/>
  <c r="D19" i="3"/>
  <c r="K17" i="3"/>
  <c r="L17" i="3" s="1"/>
  <c r="K16" i="3"/>
  <c r="L16" i="3" s="1"/>
  <c r="K14" i="3"/>
  <c r="L14" i="3" s="1"/>
  <c r="D14" i="3"/>
  <c r="K11" i="3"/>
  <c r="L11" i="3" s="1"/>
  <c r="E11" i="3"/>
  <c r="K9" i="3"/>
  <c r="L9" i="3" s="1"/>
  <c r="G44" i="3"/>
  <c r="E30" i="3" s="1"/>
  <c r="F30" i="3" s="1"/>
  <c r="G45" i="3"/>
  <c r="G47" i="3"/>
  <c r="E34" i="3" s="1"/>
  <c r="G48" i="3"/>
  <c r="G49" i="3"/>
  <c r="G35" i="3"/>
  <c r="N35" i="3" s="1"/>
  <c r="G43" i="3"/>
  <c r="L7" i="3"/>
  <c r="AA35" i="2"/>
  <c r="Z35" i="2"/>
  <c r="Y35" i="2"/>
  <c r="W35" i="2"/>
  <c r="D35" i="2"/>
  <c r="G34" i="2"/>
  <c r="S34" i="2" s="1"/>
  <c r="G33" i="2"/>
  <c r="S33" i="2" s="1"/>
  <c r="G32" i="2"/>
  <c r="T32" i="2" s="1"/>
  <c r="G31" i="2"/>
  <c r="S31" i="2" s="1"/>
  <c r="G30" i="2"/>
  <c r="T30" i="2" s="1"/>
  <c r="G29" i="2"/>
  <c r="S29" i="2" s="1"/>
  <c r="G28" i="2"/>
  <c r="S28" i="2" s="1"/>
  <c r="G27" i="2"/>
  <c r="S27" i="2" s="1"/>
  <c r="G26" i="2"/>
  <c r="T26" i="2" s="1"/>
  <c r="T25" i="2"/>
  <c r="S25" i="2"/>
  <c r="R25" i="2"/>
  <c r="Q25" i="2"/>
  <c r="N25" i="2"/>
  <c r="M25" i="2"/>
  <c r="L25" i="2"/>
  <c r="K25" i="2"/>
  <c r="J25" i="2"/>
  <c r="I25" i="2"/>
  <c r="V25" i="2" s="1"/>
  <c r="AB25" i="2" s="1"/>
  <c r="AC25" i="2" s="1"/>
  <c r="T24" i="2"/>
  <c r="S24" i="2"/>
  <c r="R24" i="2"/>
  <c r="P24" i="2"/>
  <c r="O24" i="2"/>
  <c r="N24" i="2"/>
  <c r="M24" i="2"/>
  <c r="L24" i="2"/>
  <c r="K24" i="2"/>
  <c r="J24" i="2"/>
  <c r="I24" i="2"/>
  <c r="AB23" i="2"/>
  <c r="AC23" i="2" s="1"/>
  <c r="T23" i="2"/>
  <c r="S23" i="2"/>
  <c r="R23" i="2"/>
  <c r="Q23" i="2"/>
  <c r="N23" i="2"/>
  <c r="M23" i="2"/>
  <c r="L23" i="2"/>
  <c r="K23" i="2"/>
  <c r="J23" i="2"/>
  <c r="I23" i="2"/>
  <c r="G22" i="2"/>
  <c r="AA19" i="2"/>
  <c r="Z19" i="2"/>
  <c r="Y19" i="2"/>
  <c r="W19" i="2"/>
  <c r="D19" i="2"/>
  <c r="D36" i="2" s="1"/>
  <c r="G18" i="2"/>
  <c r="G17" i="2"/>
  <c r="G16" i="2"/>
  <c r="G15" i="2"/>
  <c r="S15" i="2" s="1"/>
  <c r="Q14" i="2"/>
  <c r="M14" i="2"/>
  <c r="I14" i="2"/>
  <c r="G14" i="2"/>
  <c r="T14" i="2" s="1"/>
  <c r="G13" i="2"/>
  <c r="T13" i="2" s="1"/>
  <c r="G12" i="2"/>
  <c r="G11" i="2"/>
  <c r="S11" i="2" s="1"/>
  <c r="G10" i="2"/>
  <c r="G9" i="2"/>
  <c r="S9" i="2" s="1"/>
  <c r="G8" i="2"/>
  <c r="S8" i="2" s="1"/>
  <c r="AC7" i="2"/>
  <c r="Q7" i="2"/>
  <c r="M7" i="2"/>
  <c r="I7" i="2"/>
  <c r="G7" i="2"/>
  <c r="T7" i="2" s="1"/>
  <c r="G6" i="2"/>
  <c r="T6" i="2" s="1"/>
  <c r="K6" i="2" l="1"/>
  <c r="O6" i="2"/>
  <c r="S6" i="2"/>
  <c r="L11" i="2"/>
  <c r="P11" i="2"/>
  <c r="T11" i="2"/>
  <c r="K13" i="2"/>
  <c r="O13" i="2"/>
  <c r="S13" i="2"/>
  <c r="K15" i="2"/>
  <c r="P15" i="2"/>
  <c r="T15" i="2"/>
  <c r="M26" i="2"/>
  <c r="Q26" i="2"/>
  <c r="K27" i="2"/>
  <c r="P27" i="2"/>
  <c r="T27" i="2"/>
  <c r="K31" i="2"/>
  <c r="P31" i="2"/>
  <c r="T31" i="2"/>
  <c r="K33" i="2"/>
  <c r="O33" i="2"/>
  <c r="Y36" i="2"/>
  <c r="AA36" i="2"/>
  <c r="I6" i="2"/>
  <c r="M6" i="2"/>
  <c r="Q6" i="2"/>
  <c r="K7" i="2"/>
  <c r="O7" i="2"/>
  <c r="S7" i="2"/>
  <c r="I11" i="2"/>
  <c r="N11" i="2"/>
  <c r="R11" i="2"/>
  <c r="I13" i="2"/>
  <c r="M13" i="2"/>
  <c r="Q13" i="2"/>
  <c r="K14" i="2"/>
  <c r="O14" i="2"/>
  <c r="S14" i="2"/>
  <c r="I15" i="2"/>
  <c r="N15" i="2"/>
  <c r="R15" i="2"/>
  <c r="V24" i="2"/>
  <c r="AB24" i="2" s="1"/>
  <c r="AC24" i="2" s="1"/>
  <c r="I26" i="2"/>
  <c r="O26" i="2"/>
  <c r="S26" i="2"/>
  <c r="I27" i="2"/>
  <c r="M27" i="2"/>
  <c r="R27" i="2"/>
  <c r="I31" i="2"/>
  <c r="N31" i="2"/>
  <c r="R31" i="2"/>
  <c r="I33" i="2"/>
  <c r="M33" i="2"/>
  <c r="E17" i="3"/>
  <c r="F17" i="3" s="1"/>
  <c r="G17" i="3" s="1"/>
  <c r="E26" i="3"/>
  <c r="E31" i="3"/>
  <c r="F31" i="3" s="1"/>
  <c r="G31" i="3" s="1"/>
  <c r="N31" i="3" s="1"/>
  <c r="E32" i="3"/>
  <c r="E19" i="3"/>
  <c r="F19" i="3" s="1"/>
  <c r="G19" i="3" s="1"/>
  <c r="N19" i="3" s="1"/>
  <c r="E7" i="3"/>
  <c r="F7" i="3" s="1"/>
  <c r="E33" i="3"/>
  <c r="E23" i="3"/>
  <c r="E25" i="3"/>
  <c r="E27" i="3"/>
  <c r="E29" i="3"/>
  <c r="E28" i="3"/>
  <c r="E9" i="3"/>
  <c r="F9" i="3" s="1"/>
  <c r="G9" i="3" s="1"/>
  <c r="N9" i="3" s="1"/>
  <c r="E16" i="3"/>
  <c r="O35" i="3"/>
  <c r="M35" i="3"/>
  <c r="G30" i="3"/>
  <c r="N30" i="3" s="1"/>
  <c r="F26" i="3"/>
  <c r="G26" i="3" s="1"/>
  <c r="N26" i="3" s="1"/>
  <c r="F34" i="3"/>
  <c r="G34" i="3" s="1"/>
  <c r="N34" i="3" s="1"/>
  <c r="F33" i="3"/>
  <c r="G33" i="3" s="1"/>
  <c r="N33" i="3" s="1"/>
  <c r="F32" i="3"/>
  <c r="G32" i="3" s="1"/>
  <c r="N32" i="3" s="1"/>
  <c r="F29" i="3"/>
  <c r="G29" i="3" s="1"/>
  <c r="N29" i="3" s="1"/>
  <c r="F16" i="3"/>
  <c r="G16" i="3" s="1"/>
  <c r="F25" i="3"/>
  <c r="G25" i="3" s="1"/>
  <c r="N25" i="3" s="1"/>
  <c r="F28" i="3"/>
  <c r="G28" i="3" s="1"/>
  <c r="N28" i="3" s="1"/>
  <c r="F27" i="3"/>
  <c r="G27" i="3" s="1"/>
  <c r="N27" i="3" s="1"/>
  <c r="F23" i="3"/>
  <c r="G23" i="3" s="1"/>
  <c r="N23" i="3" s="1"/>
  <c r="F11" i="3"/>
  <c r="G11" i="3" s="1"/>
  <c r="N11" i="3" s="1"/>
  <c r="F14" i="3"/>
  <c r="G14" i="3" s="1"/>
  <c r="N14" i="3" s="1"/>
  <c r="G7" i="3"/>
  <c r="N7" i="3" s="1"/>
  <c r="J8" i="2"/>
  <c r="N8" i="2"/>
  <c r="P8" i="2"/>
  <c r="R8" i="2"/>
  <c r="T8" i="2"/>
  <c r="L9" i="2"/>
  <c r="T10" i="2"/>
  <c r="R10" i="2"/>
  <c r="P10" i="2"/>
  <c r="N10" i="2"/>
  <c r="T12" i="2"/>
  <c r="R12" i="2"/>
  <c r="P12" i="2"/>
  <c r="N12" i="2"/>
  <c r="L12" i="2"/>
  <c r="J12" i="2"/>
  <c r="S16" i="2"/>
  <c r="Q16" i="2"/>
  <c r="O16" i="2"/>
  <c r="M16" i="2"/>
  <c r="K16" i="2"/>
  <c r="I16" i="2"/>
  <c r="L16" i="2"/>
  <c r="P16" i="2"/>
  <c r="T16" i="2"/>
  <c r="S17" i="2"/>
  <c r="Q17" i="2"/>
  <c r="O17" i="2"/>
  <c r="M17" i="2"/>
  <c r="K17" i="2"/>
  <c r="I17" i="2"/>
  <c r="L17" i="2"/>
  <c r="P17" i="2"/>
  <c r="T17" i="2"/>
  <c r="S18" i="2"/>
  <c r="Q18" i="2"/>
  <c r="O18" i="2"/>
  <c r="M18" i="2"/>
  <c r="K18" i="2"/>
  <c r="I18" i="2"/>
  <c r="L18" i="2"/>
  <c r="P18" i="2"/>
  <c r="T18" i="2"/>
  <c r="T22" i="2"/>
  <c r="R22" i="2"/>
  <c r="P22" i="2"/>
  <c r="S22" i="2"/>
  <c r="Q22" i="2"/>
  <c r="O22" i="2"/>
  <c r="M22" i="2"/>
  <c r="I22" i="2"/>
  <c r="N22" i="2"/>
  <c r="L8" i="2"/>
  <c r="J9" i="2"/>
  <c r="N9" i="2"/>
  <c r="P9" i="2"/>
  <c r="R9" i="2"/>
  <c r="T9" i="2"/>
  <c r="J10" i="2"/>
  <c r="L10" i="2"/>
  <c r="Q10" i="2"/>
  <c r="M12" i="2"/>
  <c r="Q12" i="2"/>
  <c r="J6" i="2"/>
  <c r="L6" i="2"/>
  <c r="N6" i="2"/>
  <c r="P6" i="2"/>
  <c r="R6" i="2"/>
  <c r="J7" i="2"/>
  <c r="L7" i="2"/>
  <c r="N7" i="2"/>
  <c r="P7" i="2"/>
  <c r="R7" i="2"/>
  <c r="I8" i="2"/>
  <c r="K8" i="2"/>
  <c r="M8" i="2"/>
  <c r="O8" i="2"/>
  <c r="Q8" i="2"/>
  <c r="I9" i="2"/>
  <c r="K9" i="2"/>
  <c r="M9" i="2"/>
  <c r="O9" i="2"/>
  <c r="Q9" i="2"/>
  <c r="I10" i="2"/>
  <c r="K10" i="2"/>
  <c r="M10" i="2"/>
  <c r="O10" i="2"/>
  <c r="S10" i="2"/>
  <c r="K12" i="2"/>
  <c r="O12" i="2"/>
  <c r="S12" i="2"/>
  <c r="J16" i="2"/>
  <c r="N16" i="2"/>
  <c r="R16" i="2"/>
  <c r="J17" i="2"/>
  <c r="N17" i="2"/>
  <c r="R17" i="2"/>
  <c r="J18" i="2"/>
  <c r="N18" i="2"/>
  <c r="R18" i="2"/>
  <c r="K22" i="2"/>
  <c r="K11" i="2"/>
  <c r="M11" i="2"/>
  <c r="O11" i="2"/>
  <c r="Q11" i="2"/>
  <c r="J13" i="2"/>
  <c r="L13" i="2"/>
  <c r="N13" i="2"/>
  <c r="P13" i="2"/>
  <c r="R13" i="2"/>
  <c r="J14" i="2"/>
  <c r="L14" i="2"/>
  <c r="N14" i="2"/>
  <c r="P14" i="2"/>
  <c r="R14" i="2"/>
  <c r="J15" i="2"/>
  <c r="L15" i="2"/>
  <c r="O15" i="2"/>
  <c r="Q15" i="2"/>
  <c r="W36" i="2"/>
  <c r="Z36" i="2"/>
  <c r="J28" i="2"/>
  <c r="L28" i="2"/>
  <c r="N28" i="2"/>
  <c r="P28" i="2"/>
  <c r="R28" i="2"/>
  <c r="T28" i="2"/>
  <c r="J29" i="2"/>
  <c r="N29" i="2"/>
  <c r="P29" i="2"/>
  <c r="R29" i="2"/>
  <c r="T29" i="2"/>
  <c r="J30" i="2"/>
  <c r="L30" i="2"/>
  <c r="N30" i="2"/>
  <c r="Q30" i="2"/>
  <c r="S30" i="2"/>
  <c r="J32" i="2"/>
  <c r="M32" i="2"/>
  <c r="O32" i="2"/>
  <c r="Q32" i="2"/>
  <c r="S32" i="2"/>
  <c r="R33" i="2"/>
  <c r="T33" i="2"/>
  <c r="J34" i="2"/>
  <c r="L34" i="2"/>
  <c r="N34" i="2"/>
  <c r="P34" i="2"/>
  <c r="R34" i="2"/>
  <c r="T34" i="2"/>
  <c r="L26" i="2"/>
  <c r="N26" i="2"/>
  <c r="P26" i="2"/>
  <c r="R26" i="2"/>
  <c r="J27" i="2"/>
  <c r="L27" i="2"/>
  <c r="O27" i="2"/>
  <c r="Q27" i="2"/>
  <c r="I28" i="2"/>
  <c r="K28" i="2"/>
  <c r="M28" i="2"/>
  <c r="O28" i="2"/>
  <c r="Q28" i="2"/>
  <c r="I29" i="2"/>
  <c r="M29" i="2"/>
  <c r="O29" i="2"/>
  <c r="Q29" i="2"/>
  <c r="I30" i="2"/>
  <c r="K30" i="2"/>
  <c r="M30" i="2"/>
  <c r="O30" i="2"/>
  <c r="R30" i="2"/>
  <c r="J31" i="2"/>
  <c r="M31" i="2"/>
  <c r="O31" i="2"/>
  <c r="Q31" i="2"/>
  <c r="I32" i="2"/>
  <c r="L32" i="2"/>
  <c r="N32" i="2"/>
  <c r="P32" i="2"/>
  <c r="R32" i="2"/>
  <c r="J33" i="2"/>
  <c r="L33" i="2"/>
  <c r="N33" i="2"/>
  <c r="Q33" i="2"/>
  <c r="I34" i="2"/>
  <c r="K34" i="2"/>
  <c r="M34" i="2"/>
  <c r="O34" i="2"/>
  <c r="Q34" i="2"/>
  <c r="S19" i="2" l="1"/>
  <c r="V31" i="2"/>
  <c r="AB31" i="2" s="1"/>
  <c r="AC31" i="2" s="1"/>
  <c r="J35" i="2"/>
  <c r="V26" i="2"/>
  <c r="AB26" i="2" s="1"/>
  <c r="AC26" i="2" s="1"/>
  <c r="V15" i="2"/>
  <c r="AB15" i="2" s="1"/>
  <c r="AC15" i="2" s="1"/>
  <c r="V14" i="2"/>
  <c r="AB14" i="2" s="1"/>
  <c r="AC14" i="2" s="1"/>
  <c r="V11" i="2"/>
  <c r="AB11" i="2" s="1"/>
  <c r="AC11" i="2" s="1"/>
  <c r="M19" i="2"/>
  <c r="O19" i="2"/>
  <c r="K19" i="2"/>
  <c r="V7" i="2"/>
  <c r="V33" i="2"/>
  <c r="AB33" i="2" s="1"/>
  <c r="AC33" i="2" s="1"/>
  <c r="V29" i="2"/>
  <c r="L35" i="2"/>
  <c r="V13" i="2"/>
  <c r="AB13" i="2" s="1"/>
  <c r="AC13" i="2" s="1"/>
  <c r="Q19" i="2"/>
  <c r="T19" i="2"/>
  <c r="N17" i="3"/>
  <c r="O17" i="3" s="1"/>
  <c r="N16" i="3"/>
  <c r="O16" i="3" s="1"/>
  <c r="P35" i="3"/>
  <c r="Q35" i="3" s="1"/>
  <c r="R35" i="3"/>
  <c r="O14" i="3"/>
  <c r="O19" i="3"/>
  <c r="O34" i="3"/>
  <c r="M34" i="3"/>
  <c r="O33" i="3"/>
  <c r="P33" i="3" s="1"/>
  <c r="Q33" i="3" s="1"/>
  <c r="M33" i="3"/>
  <c r="O32" i="3"/>
  <c r="R32" i="3" s="1"/>
  <c r="M32" i="3"/>
  <c r="O31" i="3"/>
  <c r="P31" i="3" s="1"/>
  <c r="Q31" i="3" s="1"/>
  <c r="M31" i="3"/>
  <c r="O30" i="3"/>
  <c r="P30" i="3" s="1"/>
  <c r="Q30" i="3" s="1"/>
  <c r="M30" i="3"/>
  <c r="O29" i="3"/>
  <c r="M29" i="3"/>
  <c r="O28" i="3"/>
  <c r="M28" i="3"/>
  <c r="O27" i="3"/>
  <c r="M27" i="3"/>
  <c r="O26" i="3"/>
  <c r="M26" i="3"/>
  <c r="O25" i="3"/>
  <c r="M25" i="3"/>
  <c r="M7" i="3"/>
  <c r="O11" i="3"/>
  <c r="M16" i="3"/>
  <c r="M19" i="3"/>
  <c r="M17" i="3"/>
  <c r="M14" i="3"/>
  <c r="M11" i="3"/>
  <c r="M9" i="3"/>
  <c r="S35" i="3"/>
  <c r="O23" i="3"/>
  <c r="R23" i="3" s="1"/>
  <c r="M23" i="3"/>
  <c r="S32" i="3"/>
  <c r="S23" i="3"/>
  <c r="P27" i="3"/>
  <c r="Q27" i="3" s="1"/>
  <c r="V34" i="2"/>
  <c r="AB34" i="2" s="1"/>
  <c r="AC34" i="2" s="1"/>
  <c r="V30" i="2"/>
  <c r="AB30" i="2" s="1"/>
  <c r="AC30" i="2" s="1"/>
  <c r="V27" i="2"/>
  <c r="AB27" i="2" s="1"/>
  <c r="AC27" i="2" s="1"/>
  <c r="K35" i="2"/>
  <c r="K36" i="2" s="1"/>
  <c r="V32" i="2"/>
  <c r="V28" i="2"/>
  <c r="AB28" i="2" s="1"/>
  <c r="AC28" i="2" s="1"/>
  <c r="V10" i="2"/>
  <c r="AB10" i="2" s="1"/>
  <c r="AC10" i="2" s="1"/>
  <c r="V8" i="2"/>
  <c r="AB8" i="2" s="1"/>
  <c r="AC8" i="2" s="1"/>
  <c r="R19" i="2"/>
  <c r="N19" i="2"/>
  <c r="J19" i="2"/>
  <c r="J36" i="2" s="1"/>
  <c r="V6" i="2"/>
  <c r="I19" i="2"/>
  <c r="I35" i="2"/>
  <c r="V22" i="2"/>
  <c r="O35" i="2"/>
  <c r="O36" i="2" s="1"/>
  <c r="S35" i="2"/>
  <c r="S36" i="2" s="1"/>
  <c r="R35" i="2"/>
  <c r="R36" i="2" s="1"/>
  <c r="V18" i="2"/>
  <c r="AB18" i="2" s="1"/>
  <c r="AC18" i="2" s="1"/>
  <c r="V16" i="2"/>
  <c r="AB16" i="2" s="1"/>
  <c r="AC16" i="2" s="1"/>
  <c r="V12" i="2"/>
  <c r="AB12" i="2" s="1"/>
  <c r="AC12" i="2" s="1"/>
  <c r="V9" i="2"/>
  <c r="AB9" i="2" s="1"/>
  <c r="AC9" i="2" s="1"/>
  <c r="P19" i="2"/>
  <c r="L19" i="2"/>
  <c r="L36" i="2" s="1"/>
  <c r="N35" i="2"/>
  <c r="M35" i="2"/>
  <c r="M36" i="2" s="1"/>
  <c r="Q35" i="2"/>
  <c r="P35" i="2"/>
  <c r="T35" i="2"/>
  <c r="T36" i="2" s="1"/>
  <c r="V17" i="2"/>
  <c r="AB17" i="2" s="1"/>
  <c r="AC17" i="2" s="1"/>
  <c r="Q36" i="2" l="1"/>
  <c r="N36" i="2"/>
  <c r="R17" i="3"/>
  <c r="P17" i="3"/>
  <c r="Q17" i="3" s="1"/>
  <c r="R16" i="3"/>
  <c r="P16" i="3"/>
  <c r="Q16" i="3" s="1"/>
  <c r="S16" i="3"/>
  <c r="P32" i="3"/>
  <c r="Q32" i="3" s="1"/>
  <c r="P23" i="3"/>
  <c r="Q23" i="3" s="1"/>
  <c r="S25" i="3"/>
  <c r="R25" i="3"/>
  <c r="P29" i="3"/>
  <c r="Q29" i="3" s="1"/>
  <c r="R29" i="3"/>
  <c r="S30" i="3"/>
  <c r="R30" i="3"/>
  <c r="S31" i="3"/>
  <c r="R31" i="3"/>
  <c r="S33" i="3"/>
  <c r="R33" i="3"/>
  <c r="P34" i="3"/>
  <c r="Q34" i="3" s="1"/>
  <c r="R34" i="3"/>
  <c r="P26" i="3"/>
  <c r="Q26" i="3" s="1"/>
  <c r="S26" i="3"/>
  <c r="R26" i="3"/>
  <c r="P28" i="3"/>
  <c r="Q28" i="3" s="1"/>
  <c r="S28" i="3"/>
  <c r="R28" i="3"/>
  <c r="S27" i="3"/>
  <c r="R27" i="3"/>
  <c r="P14" i="3"/>
  <c r="Q14" i="3" s="1"/>
  <c r="R14" i="3"/>
  <c r="S14" i="3"/>
  <c r="P11" i="3"/>
  <c r="Q11" i="3" s="1"/>
  <c r="R11" i="3"/>
  <c r="P19" i="3"/>
  <c r="Q19" i="3" s="1"/>
  <c r="R19" i="3"/>
  <c r="P25" i="3"/>
  <c r="Q25" i="3" s="1"/>
  <c r="V35" i="2"/>
  <c r="AB22" i="2"/>
  <c r="P36" i="2"/>
  <c r="I36" i="2"/>
  <c r="V19" i="2"/>
  <c r="AB6" i="2"/>
  <c r="S37" i="3" l="1"/>
  <c r="V36" i="2"/>
  <c r="AB19" i="2"/>
  <c r="AC19" i="2" s="1"/>
  <c r="AC6" i="2"/>
  <c r="AC22" i="2"/>
  <c r="AB35" i="2"/>
  <c r="AB36" i="2" l="1"/>
  <c r="AC36" i="2" s="1"/>
  <c r="AC35" i="2"/>
  <c r="O9" i="3" l="1"/>
  <c r="S9" i="3" s="1"/>
  <c r="R9" i="3" l="1"/>
  <c r="P9" i="3"/>
  <c r="Q9" i="3" s="1"/>
  <c r="O7" i="3"/>
  <c r="R7" i="3" s="1"/>
  <c r="S7" i="3" l="1"/>
  <c r="S21" i="3" s="1"/>
  <c r="P7" i="3"/>
  <c r="Q7" i="3" s="1"/>
  <c r="S38" i="3" l="1"/>
</calcChain>
</file>

<file path=xl/comments1.xml><?xml version="1.0" encoding="utf-8"?>
<comments xmlns="http://schemas.openxmlformats.org/spreadsheetml/2006/main">
  <authors>
    <author>Duncan Snook</author>
    <author>Anna Mizerska</author>
  </authors>
  <commentList>
    <comment ref="R1" authorId="0" shapeId="0">
      <text>
        <r>
          <rPr>
            <b/>
            <sz val="9"/>
            <color indexed="81"/>
            <rFont val="Tahoma"/>
            <family val="2"/>
          </rPr>
          <t>Duncan Snook:</t>
        </r>
        <r>
          <rPr>
            <sz val="9"/>
            <color indexed="81"/>
            <rFont val="Tahoma"/>
            <family val="2"/>
          </rPr>
          <t xml:space="preserve">
Any change in fee is capped at a maximum of 50%</t>
        </r>
      </text>
    </comment>
    <comment ref="H7" authorId="1" shapeId="0">
      <text>
        <r>
          <rPr>
            <b/>
            <sz val="9"/>
            <color indexed="81"/>
            <rFont val="Tahoma"/>
            <family val="2"/>
          </rPr>
          <t>Anna Mizerska:</t>
        </r>
        <r>
          <rPr>
            <sz val="9"/>
            <color indexed="81"/>
            <rFont val="Tahoma"/>
            <family val="2"/>
          </rPr>
          <t xml:space="preserve">
2016: 583,466</t>
        </r>
      </text>
    </comment>
    <comment ref="C10" authorId="1" shapeId="0">
      <text>
        <r>
          <rPr>
            <b/>
            <sz val="9"/>
            <color indexed="81"/>
            <rFont val="Tahoma"/>
            <family val="2"/>
          </rPr>
          <t>Anna Mizerska:</t>
        </r>
        <r>
          <rPr>
            <sz val="9"/>
            <color indexed="81"/>
            <rFont val="Tahoma"/>
            <family val="2"/>
          </rPr>
          <t xml:space="preserve">
0 members last year</t>
        </r>
      </text>
    </comment>
    <comment ref="C12" authorId="1" shapeId="0">
      <text>
        <r>
          <rPr>
            <b/>
            <sz val="9"/>
            <color indexed="81"/>
            <rFont val="Tahoma"/>
            <family val="2"/>
          </rPr>
          <t>Anna Mizerska:</t>
        </r>
        <r>
          <rPr>
            <sz val="9"/>
            <color indexed="81"/>
            <rFont val="Tahoma"/>
            <family val="2"/>
          </rPr>
          <t xml:space="preserve">
failed to submit last year</t>
        </r>
      </text>
    </comment>
    <comment ref="H14" authorId="1" shapeId="0">
      <text>
        <r>
          <rPr>
            <b/>
            <sz val="9"/>
            <color indexed="81"/>
            <rFont val="Tahoma"/>
            <family val="2"/>
          </rPr>
          <t>Anna Mizerska:</t>
        </r>
        <r>
          <rPr>
            <sz val="9"/>
            <color indexed="81"/>
            <rFont val="Tahoma"/>
            <family val="2"/>
          </rPr>
          <t xml:space="preserve">
2016: 2,973,647.65</t>
        </r>
      </text>
    </comment>
    <comment ref="C15" authorId="1" shapeId="0">
      <text>
        <r>
          <rPr>
            <b/>
            <sz val="9"/>
            <color indexed="81"/>
            <rFont val="Tahoma"/>
            <family val="2"/>
          </rPr>
          <t>Anna Mizerska:</t>
        </r>
        <r>
          <rPr>
            <sz val="9"/>
            <color indexed="81"/>
            <rFont val="Tahoma"/>
            <family val="2"/>
          </rPr>
          <t xml:space="preserve">
failed to submit last year</t>
        </r>
      </text>
    </comment>
    <comment ref="H16" authorId="1" shapeId="0">
      <text>
        <r>
          <rPr>
            <b/>
            <sz val="9"/>
            <color indexed="81"/>
            <rFont val="Tahoma"/>
            <family val="2"/>
          </rPr>
          <t>Anna Mizerska:</t>
        </r>
        <r>
          <rPr>
            <sz val="9"/>
            <color indexed="81"/>
            <rFont val="Tahoma"/>
            <family val="2"/>
          </rPr>
          <t xml:space="preserve">
2017: £6970</t>
        </r>
      </text>
    </comment>
    <comment ref="H17" authorId="1" shapeId="0">
      <text>
        <r>
          <rPr>
            <b/>
            <sz val="9"/>
            <color indexed="81"/>
            <rFont val="Tahoma"/>
            <family val="2"/>
          </rPr>
          <t>Anna Mizerska:</t>
        </r>
        <r>
          <rPr>
            <sz val="9"/>
            <color indexed="81"/>
            <rFont val="Tahoma"/>
            <family val="2"/>
          </rPr>
          <t xml:space="preserve">
2016/17
4 months Revenue</t>
        </r>
      </text>
    </comment>
    <comment ref="H18" authorId="1" shapeId="0">
      <text>
        <r>
          <rPr>
            <b/>
            <sz val="9"/>
            <color indexed="81"/>
            <rFont val="Tahoma"/>
            <family val="2"/>
          </rPr>
          <t>Anna Mizerska:</t>
        </r>
        <r>
          <rPr>
            <sz val="9"/>
            <color indexed="81"/>
            <rFont val="Tahoma"/>
            <family val="2"/>
          </rPr>
          <t xml:space="preserve">
2016: 1,555,914.00</t>
        </r>
      </text>
    </comment>
    <comment ref="H23" authorId="1" shapeId="0">
      <text>
        <r>
          <rPr>
            <b/>
            <sz val="9"/>
            <color indexed="81"/>
            <rFont val="Tahoma"/>
            <family val="2"/>
          </rPr>
          <t>Anna Mizerska:</t>
        </r>
        <r>
          <rPr>
            <sz val="9"/>
            <color indexed="81"/>
            <rFont val="Tahoma"/>
            <family val="2"/>
          </rPr>
          <t xml:space="preserve">
2017: 205,355.00</t>
        </r>
      </text>
    </comment>
    <comment ref="H26" authorId="1" shapeId="0">
      <text>
        <r>
          <rPr>
            <b/>
            <sz val="9"/>
            <color indexed="81"/>
            <rFont val="Tahoma"/>
            <family val="2"/>
          </rPr>
          <t>Anna Mizerska:</t>
        </r>
        <r>
          <rPr>
            <sz val="9"/>
            <color indexed="81"/>
            <rFont val="Tahoma"/>
            <family val="2"/>
          </rPr>
          <t xml:space="preserve">
2016</t>
        </r>
      </text>
    </comment>
    <comment ref="H29" authorId="1" shapeId="0">
      <text>
        <r>
          <rPr>
            <b/>
            <sz val="9"/>
            <color indexed="81"/>
            <rFont val="Tahoma"/>
            <family val="2"/>
          </rPr>
          <t>Anna Mizerska:</t>
        </r>
        <r>
          <rPr>
            <sz val="9"/>
            <color indexed="81"/>
            <rFont val="Tahoma"/>
            <family val="2"/>
          </rPr>
          <t xml:space="preserve">
2016</t>
        </r>
      </text>
    </comment>
    <comment ref="H30" authorId="1" shapeId="0">
      <text>
        <r>
          <rPr>
            <b/>
            <sz val="9"/>
            <color indexed="81"/>
            <rFont val="Tahoma"/>
            <family val="2"/>
          </rPr>
          <t>Anna Mizerska:</t>
        </r>
        <r>
          <rPr>
            <sz val="9"/>
            <color indexed="81"/>
            <rFont val="Tahoma"/>
            <family val="2"/>
          </rPr>
          <t xml:space="preserve">
2017</t>
        </r>
      </text>
    </comment>
    <comment ref="H31" authorId="1" shapeId="0">
      <text>
        <r>
          <rPr>
            <b/>
            <sz val="9"/>
            <color indexed="81"/>
            <rFont val="Tahoma"/>
            <family val="2"/>
          </rPr>
          <t>Anna Mizerska:</t>
        </r>
        <r>
          <rPr>
            <sz val="9"/>
            <color indexed="81"/>
            <rFont val="Tahoma"/>
            <family val="2"/>
          </rPr>
          <t xml:space="preserve">
2017</t>
        </r>
      </text>
    </comment>
    <comment ref="H33" authorId="1" shapeId="0">
      <text>
        <r>
          <rPr>
            <b/>
            <sz val="9"/>
            <color indexed="81"/>
            <rFont val="Tahoma"/>
            <family val="2"/>
          </rPr>
          <t>Anna Mizerska:</t>
        </r>
        <r>
          <rPr>
            <sz val="9"/>
            <color indexed="81"/>
            <rFont val="Tahoma"/>
            <family val="2"/>
          </rPr>
          <t xml:space="preserve">
2016</t>
        </r>
      </text>
    </comment>
    <comment ref="H34" authorId="1" shapeId="0">
      <text>
        <r>
          <rPr>
            <b/>
            <sz val="9"/>
            <color indexed="81"/>
            <rFont val="Tahoma"/>
            <family val="2"/>
          </rPr>
          <t>Anna Mizerska:</t>
        </r>
        <r>
          <rPr>
            <sz val="9"/>
            <color indexed="81"/>
            <rFont val="Tahoma"/>
            <family val="2"/>
          </rPr>
          <t xml:space="preserve">
2016</t>
        </r>
      </text>
    </comment>
  </commentList>
</comments>
</file>

<file path=xl/comments2.xml><?xml version="1.0" encoding="utf-8"?>
<comments xmlns="http://schemas.openxmlformats.org/spreadsheetml/2006/main">
  <authors>
    <author>Anna Mizerska</author>
  </authors>
  <commentList>
    <comment ref="Y16" authorId="0" shapeId="0">
      <text>
        <r>
          <rPr>
            <b/>
            <sz val="9"/>
            <color indexed="81"/>
            <rFont val="Tahoma"/>
            <family val="2"/>
          </rPr>
          <t>Anna Mizerska:</t>
        </r>
        <r>
          <rPr>
            <sz val="9"/>
            <color indexed="81"/>
            <rFont val="Tahoma"/>
            <family val="2"/>
          </rPr>
          <t xml:space="preserve">
Paid 08/05/2018</t>
        </r>
      </text>
    </comment>
    <comment ref="Z16" authorId="0" shapeId="0">
      <text>
        <r>
          <rPr>
            <b/>
            <sz val="9"/>
            <color indexed="81"/>
            <rFont val="Tahoma"/>
            <charset val="1"/>
          </rPr>
          <t>Anna Mizerska:</t>
        </r>
        <r>
          <rPr>
            <sz val="9"/>
            <color indexed="81"/>
            <rFont val="Tahoma"/>
            <charset val="1"/>
          </rPr>
          <t xml:space="preserve">
Paid 06/08/2018</t>
        </r>
      </text>
    </comment>
    <comment ref="AA16" authorId="0" shapeId="0">
      <text>
        <r>
          <rPr>
            <b/>
            <sz val="9"/>
            <color indexed="81"/>
            <rFont val="Tahoma"/>
            <charset val="1"/>
          </rPr>
          <t>Anna Mizerska:</t>
        </r>
        <r>
          <rPr>
            <sz val="9"/>
            <color indexed="81"/>
            <rFont val="Tahoma"/>
            <charset val="1"/>
          </rPr>
          <t xml:space="preserve">
Paid 06/08/2018</t>
        </r>
      </text>
    </comment>
  </commentList>
</comments>
</file>

<file path=xl/comments3.xml><?xml version="1.0" encoding="utf-8"?>
<comments xmlns="http://schemas.openxmlformats.org/spreadsheetml/2006/main">
  <authors>
    <author>Anna Mizerska</author>
  </authors>
  <commentList>
    <comment ref="S30" authorId="0" shapeId="0">
      <text>
        <r>
          <rPr>
            <b/>
            <sz val="9"/>
            <color indexed="81"/>
            <rFont val="Tahoma"/>
            <family val="2"/>
          </rPr>
          <t>Anna Mizerska:</t>
        </r>
        <r>
          <rPr>
            <sz val="9"/>
            <color indexed="81"/>
            <rFont val="Tahoma"/>
            <family val="2"/>
          </rPr>
          <t xml:space="preserve">
£1208 paid 16/01/2018</t>
        </r>
      </text>
    </comment>
    <comment ref="AA31" authorId="0" shapeId="0">
      <text>
        <r>
          <rPr>
            <b/>
            <sz val="9"/>
            <color indexed="81"/>
            <rFont val="Tahoma"/>
            <family val="2"/>
          </rPr>
          <t>Anna Mizerska:</t>
        </r>
        <r>
          <rPr>
            <sz val="9"/>
            <color indexed="81"/>
            <rFont val="Tahoma"/>
            <family val="2"/>
          </rPr>
          <t xml:space="preserve">
Paid 12/10/2017</t>
        </r>
      </text>
    </comment>
  </commentList>
</comments>
</file>

<file path=xl/comments4.xml><?xml version="1.0" encoding="utf-8"?>
<comments xmlns="http://schemas.openxmlformats.org/spreadsheetml/2006/main">
  <authors>
    <author>Anna Mizerska</author>
  </authors>
  <commentList>
    <comment ref="AA6" authorId="0" shapeId="0">
      <text>
        <r>
          <rPr>
            <b/>
            <sz val="8"/>
            <color indexed="81"/>
            <rFont val="Tahoma"/>
            <family val="2"/>
          </rPr>
          <t>Anna Mizerska:</t>
        </r>
        <r>
          <rPr>
            <sz val="8"/>
            <color indexed="81"/>
            <rFont val="Tahoma"/>
            <family val="2"/>
          </rPr>
          <t xml:space="preserve">
Paid 29/11/2016
</t>
        </r>
      </text>
    </comment>
    <comment ref="Z16" authorId="0" shapeId="0">
      <text>
        <r>
          <rPr>
            <b/>
            <sz val="9"/>
            <color indexed="81"/>
            <rFont val="Tahoma"/>
            <family val="2"/>
          </rPr>
          <t xml:space="preserve">Anna Mizerska:
</t>
        </r>
        <r>
          <rPr>
            <sz val="9"/>
            <color indexed="81"/>
            <rFont val="Tahoma"/>
            <family val="2"/>
          </rPr>
          <t xml:space="preserve">02/09/2016 Annual Fee 2014 received
</t>
        </r>
      </text>
    </comment>
  </commentList>
</comments>
</file>

<file path=xl/comments5.xml><?xml version="1.0" encoding="utf-8"?>
<comments xmlns="http://schemas.openxmlformats.org/spreadsheetml/2006/main">
  <authors>
    <author>Duncan Snook</author>
    <author>Anna Mizerska</author>
  </authors>
  <commentList>
    <comment ref="R1" authorId="0" shapeId="0">
      <text>
        <r>
          <rPr>
            <b/>
            <sz val="9"/>
            <color indexed="81"/>
            <rFont val="Tahoma"/>
            <family val="2"/>
          </rPr>
          <t>Duncan Snook:</t>
        </r>
        <r>
          <rPr>
            <sz val="9"/>
            <color indexed="81"/>
            <rFont val="Tahoma"/>
            <family val="2"/>
          </rPr>
          <t xml:space="preserve">
Any change in fee is capped at a maximum of 50%</t>
        </r>
      </text>
    </comment>
    <comment ref="C10" authorId="1" shapeId="0">
      <text>
        <r>
          <rPr>
            <b/>
            <sz val="8"/>
            <color indexed="81"/>
            <rFont val="Tahoma"/>
            <family val="2"/>
          </rPr>
          <t>Anna Mizerska:</t>
        </r>
        <r>
          <rPr>
            <sz val="8"/>
            <color indexed="81"/>
            <rFont val="Tahoma"/>
            <family val="2"/>
          </rPr>
          <t xml:space="preserve">
0 members </t>
        </r>
      </text>
    </comment>
    <comment ref="S10" authorId="1" shapeId="0">
      <text>
        <r>
          <rPr>
            <b/>
            <sz val="8"/>
            <color indexed="81"/>
            <rFont val="Tahoma"/>
            <family val="2"/>
          </rPr>
          <t>Anna Mizerska:</t>
        </r>
        <r>
          <rPr>
            <sz val="8"/>
            <color indexed="81"/>
            <rFont val="Tahoma"/>
            <family val="2"/>
          </rPr>
          <t xml:space="preserve">
Based on 2016 fee plus 12%</t>
        </r>
      </text>
    </comment>
    <comment ref="C12" authorId="1" shapeId="0">
      <text>
        <r>
          <rPr>
            <b/>
            <sz val="8"/>
            <color indexed="81"/>
            <rFont val="Tahoma"/>
            <family val="2"/>
          </rPr>
          <t>Anna Mizerska:</t>
        </r>
        <r>
          <rPr>
            <sz val="8"/>
            <color indexed="81"/>
            <rFont val="Tahoma"/>
            <family val="2"/>
          </rPr>
          <t xml:space="preserve">
failed to submit
</t>
        </r>
      </text>
    </comment>
    <comment ref="S12" authorId="1" shapeId="0">
      <text>
        <r>
          <rPr>
            <b/>
            <sz val="8"/>
            <color indexed="81"/>
            <rFont val="Tahoma"/>
            <family val="2"/>
          </rPr>
          <t>Anna Mizerska:</t>
        </r>
        <r>
          <rPr>
            <sz val="8"/>
            <color indexed="81"/>
            <rFont val="Tahoma"/>
            <family val="2"/>
          </rPr>
          <t xml:space="preserve">
Based on 2016 fee plus 12%</t>
        </r>
      </text>
    </comment>
    <comment ref="C15" authorId="1" shapeId="0">
      <text>
        <r>
          <rPr>
            <b/>
            <sz val="8"/>
            <color indexed="81"/>
            <rFont val="Tahoma"/>
            <family val="2"/>
          </rPr>
          <t>Anna Mizerska:</t>
        </r>
        <r>
          <rPr>
            <sz val="8"/>
            <color indexed="81"/>
            <rFont val="Tahoma"/>
            <family val="2"/>
          </rPr>
          <t xml:space="preserve">
failed to submit
</t>
        </r>
      </text>
    </comment>
    <comment ref="S15" authorId="1" shapeId="0">
      <text>
        <r>
          <rPr>
            <b/>
            <sz val="8"/>
            <color indexed="81"/>
            <rFont val="Tahoma"/>
            <family val="2"/>
          </rPr>
          <t>Anna Mizerska:</t>
        </r>
        <r>
          <rPr>
            <sz val="8"/>
            <color indexed="81"/>
            <rFont val="Tahoma"/>
            <family val="2"/>
          </rPr>
          <t xml:space="preserve">
Based on 2016 fee plus 12%</t>
        </r>
      </text>
    </comment>
  </commentList>
</comments>
</file>

<file path=xl/sharedStrings.xml><?xml version="1.0" encoding="utf-8"?>
<sst xmlns="http://schemas.openxmlformats.org/spreadsheetml/2006/main" count="320" uniqueCount="137">
  <si>
    <t>T/B</t>
  </si>
  <si>
    <t>India</t>
  </si>
  <si>
    <t>Ireland</t>
  </si>
  <si>
    <t>Malaysia</t>
  </si>
  <si>
    <t>New Zealand</t>
  </si>
  <si>
    <t>Nigeria</t>
  </si>
  <si>
    <t>North America</t>
  </si>
  <si>
    <t>Pakistan</t>
  </si>
  <si>
    <t>Singapore</t>
  </si>
  <si>
    <t>UK</t>
  </si>
  <si>
    <t>Total</t>
  </si>
  <si>
    <t>cap?</t>
  </si>
  <si>
    <t>Bangladesh</t>
  </si>
  <si>
    <t>China</t>
  </si>
  <si>
    <t>Ghana</t>
  </si>
  <si>
    <t>Macao</t>
  </si>
  <si>
    <t>Mauritius</t>
  </si>
  <si>
    <t>Taiwan</t>
  </si>
  <si>
    <t>Tanzania</t>
  </si>
  <si>
    <t>Zimbabwe</t>
  </si>
  <si>
    <t xml:space="preserve">members per AR </t>
  </si>
  <si>
    <t>Cumulative</t>
  </si>
  <si>
    <t>M2: Size membership component (sliding scale)</t>
  </si>
  <si>
    <t>Total membership component M1 + M2</t>
  </si>
  <si>
    <t>R:Income component (income x 0.335%)</t>
  </si>
  <si>
    <t>Is R &gt; M1 + M2?</t>
  </si>
  <si>
    <t xml:space="preserve">Final membership component </t>
  </si>
  <si>
    <t>Final R component</t>
  </si>
  <si>
    <t>total fee before capping</t>
  </si>
  <si>
    <t>Fee after 50% limited cap</t>
  </si>
  <si>
    <t>% change</t>
  </si>
  <si>
    <t>Currency</t>
  </si>
  <si>
    <t>HKD</t>
  </si>
  <si>
    <t>INR</t>
  </si>
  <si>
    <t>EUR</t>
  </si>
  <si>
    <t>MYR</t>
  </si>
  <si>
    <t>GBP</t>
  </si>
  <si>
    <t>BDT</t>
  </si>
  <si>
    <t>GHS</t>
  </si>
  <si>
    <t>MOP</t>
  </si>
  <si>
    <t>MUR</t>
  </si>
  <si>
    <t>TZS</t>
  </si>
  <si>
    <t>Income in GBP</t>
  </si>
  <si>
    <t>Income local per AR (where blocked last year's used)</t>
  </si>
  <si>
    <t>USD</t>
  </si>
  <si>
    <t>Annual fees total 2016</t>
  </si>
  <si>
    <t>Diff to 2016</t>
  </si>
  <si>
    <t>Exchange rate 3 Jan 2017</t>
  </si>
  <si>
    <t>M1: members component of fee (members x £1.90)</t>
  </si>
  <si>
    <t>Partly Paid</t>
  </si>
  <si>
    <t>Paid in full</t>
  </si>
  <si>
    <t>Outstanding</t>
  </si>
  <si>
    <t>Branches</t>
  </si>
  <si>
    <t>2016</t>
  </si>
  <si>
    <t>Date Paid</t>
  </si>
  <si>
    <t>Month</t>
  </si>
  <si>
    <t>Paid 2016</t>
  </si>
  <si>
    <t>Invoice Total</t>
  </si>
  <si>
    <t>Pre-2014</t>
  </si>
  <si>
    <t>2014</t>
  </si>
  <si>
    <t>2015</t>
  </si>
  <si>
    <t>Notes</t>
  </si>
  <si>
    <t>CILT BANGLADESH</t>
  </si>
  <si>
    <t>CILT EGYPT</t>
  </si>
  <si>
    <t>CILT GHANA</t>
  </si>
  <si>
    <t>CILT INDONESIA</t>
  </si>
  <si>
    <t>CILT MACAO</t>
  </si>
  <si>
    <t>CILT MALAWI</t>
  </si>
  <si>
    <t>CILT MALTA</t>
  </si>
  <si>
    <t>CILT MAURITIUS</t>
  </si>
  <si>
    <t>CILT SOUTH AFRICA</t>
  </si>
  <si>
    <t>CILT TAIWAN</t>
  </si>
  <si>
    <t>CILT TANZANIA</t>
  </si>
  <si>
    <t>Unpaid</t>
  </si>
  <si>
    <t>chased DS 8/8/16; chased AM 13/09/16; chased 31/10/2016</t>
  </si>
  <si>
    <t>CILT ZAMBIA</t>
  </si>
  <si>
    <t>CILT ZIMBABWE</t>
  </si>
  <si>
    <t>Territories</t>
  </si>
  <si>
    <t>CILT AUSTRALIA</t>
  </si>
  <si>
    <t>CILT CHINA</t>
  </si>
  <si>
    <t>Aug</t>
  </si>
  <si>
    <t>CILT HONG KONG</t>
  </si>
  <si>
    <t>Sep</t>
  </si>
  <si>
    <t>CILT IRELAND</t>
  </si>
  <si>
    <t>CILT INDIA</t>
  </si>
  <si>
    <t>CILT MALAYSIA</t>
  </si>
  <si>
    <t>Underpaid</t>
  </si>
  <si>
    <t>CILT NIGERIA</t>
  </si>
  <si>
    <t>CILT NORTH AMERICA</t>
  </si>
  <si>
    <t>CILT NEW ZEALAND</t>
  </si>
  <si>
    <t>CILT PAKISTAN</t>
  </si>
  <si>
    <t>CILT SINGAPORE</t>
  </si>
  <si>
    <t>CILT SRI LANKA</t>
  </si>
  <si>
    <t>CILT(UK)</t>
  </si>
  <si>
    <t>Members</t>
  </si>
  <si>
    <t>2017 - rate</t>
  </si>
  <si>
    <t>%</t>
  </si>
  <si>
    <t>M2</t>
  </si>
  <si>
    <t>Austalia</t>
  </si>
  <si>
    <t>AUS</t>
  </si>
  <si>
    <t>Hong-Kong</t>
  </si>
  <si>
    <t>Sri Lanka</t>
  </si>
  <si>
    <t>NGN</t>
  </si>
  <si>
    <t>CAD</t>
  </si>
  <si>
    <t>NZD</t>
  </si>
  <si>
    <t>RUP</t>
  </si>
  <si>
    <t>SGD</t>
  </si>
  <si>
    <t>LKR</t>
  </si>
  <si>
    <t>Subtotal</t>
  </si>
  <si>
    <t>Egypt</t>
  </si>
  <si>
    <t>Indonesia</t>
  </si>
  <si>
    <t>Malawi</t>
  </si>
  <si>
    <t>Malta</t>
  </si>
  <si>
    <t>South Africa</t>
  </si>
  <si>
    <t>Zambia</t>
  </si>
  <si>
    <t>non-life members</t>
  </si>
  <si>
    <t>add £1213 -  2015 &amp; 2016 annual fee</t>
  </si>
  <si>
    <t>add £12 - underpayment</t>
  </si>
  <si>
    <t>add £33 - underpayment</t>
  </si>
  <si>
    <t>N</t>
  </si>
  <si>
    <t>ZMW</t>
  </si>
  <si>
    <t>Y</t>
  </si>
  <si>
    <t>EGP</t>
  </si>
  <si>
    <t>Annual fees total 2017</t>
  </si>
  <si>
    <t>Paid 2017</t>
  </si>
  <si>
    <t>add £2305 -  2015 &amp; 2016 &amp; 2017 annual fee</t>
  </si>
  <si>
    <t>Paid 2018</t>
  </si>
  <si>
    <t>2017</t>
  </si>
  <si>
    <t>2018 - rate</t>
  </si>
  <si>
    <t>M1: members component of fee (members x £2.00)</t>
  </si>
  <si>
    <t xml:space="preserve">Exchange rate </t>
  </si>
  <si>
    <t>Diff to 2017</t>
  </si>
  <si>
    <t>sent 22/02</t>
  </si>
  <si>
    <t>MWK</t>
  </si>
  <si>
    <t>sent 05/03</t>
  </si>
  <si>
    <t>sent 02/03</t>
  </si>
  <si>
    <t>sent 22/06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</si>
</sst>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&quot;£&quot;#,##0.00;[Red]\-&quot;£&quot;#,##0.00"/>
    <numFmt numFmtId="41" formatCode="_-* #,##0_-;\-* #,##0_-;_-* &quot;-&quot;_-;_-@_-"/>
    <numFmt numFmtId="43" formatCode="_-* #,##0.00_-;\-* #,##0.00_-;_-* &quot;-&quot;??_-;_-@_-"/>
    <numFmt numFmtId="164" formatCode="mmm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8"/>
      <color theme="1"/>
      <name val="Arial"/>
      <family val="2"/>
    </font>
    <font>
      <i/>
      <sz val="8"/>
      <color theme="1"/>
      <name val="Arial"/>
      <family val="2"/>
    </font>
    <font>
      <sz val="8"/>
      <color theme="5"/>
      <name val="Arial"/>
      <family val="2"/>
    </font>
    <font>
      <sz val="8"/>
      <color theme="5" tint="-0.249977111117893"/>
      <name val="Arial"/>
      <family val="2"/>
    </font>
    <font>
      <b/>
      <i/>
      <sz val="8"/>
      <color theme="1"/>
      <name val="Arial"/>
      <family val="2"/>
    </font>
    <font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auto="1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auto="1"/>
      </left>
      <right style="medium">
        <color indexed="64"/>
      </right>
      <top/>
      <bottom style="hair">
        <color indexed="64"/>
      </bottom>
      <diagonal/>
    </border>
    <border>
      <left style="thin">
        <color auto="1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auto="1"/>
      </left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3">
    <xf numFmtId="0" fontId="0" fillId="0" borderId="0" xfId="0"/>
    <xf numFmtId="0" fontId="5" fillId="0" borderId="0" xfId="0" applyFont="1"/>
    <xf numFmtId="43" fontId="5" fillId="0" borderId="0" xfId="1" applyFont="1"/>
    <xf numFmtId="0" fontId="5" fillId="5" borderId="1" xfId="0" applyFont="1" applyFill="1" applyBorder="1" applyAlignment="1"/>
    <xf numFmtId="0" fontId="5" fillId="0" borderId="0" xfId="0" applyFont="1" applyFill="1" applyBorder="1"/>
    <xf numFmtId="0" fontId="5" fillId="0" borderId="0" xfId="0" applyFont="1" applyBorder="1"/>
    <xf numFmtId="0" fontId="5" fillId="3" borderId="1" xfId="0" applyFont="1" applyFill="1" applyBorder="1" applyAlignment="1"/>
    <xf numFmtId="164" fontId="5" fillId="0" borderId="0" xfId="0" applyNumberFormat="1" applyFont="1" applyBorder="1" applyAlignment="1">
      <alignment vertical="center"/>
    </xf>
    <xf numFmtId="0" fontId="9" fillId="0" borderId="8" xfId="0" applyFont="1" applyBorder="1"/>
    <xf numFmtId="0" fontId="5" fillId="0" borderId="8" xfId="0" applyFont="1" applyBorder="1"/>
    <xf numFmtId="0" fontId="9" fillId="0" borderId="8" xfId="0" quotePrefix="1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64" fontId="5" fillId="0" borderId="8" xfId="0" applyNumberFormat="1" applyFont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164" fontId="5" fillId="0" borderId="8" xfId="0" applyNumberFormat="1" applyFont="1" applyBorder="1" applyAlignment="1">
      <alignment vertical="center"/>
    </xf>
    <xf numFmtId="0" fontId="5" fillId="0" borderId="8" xfId="0" applyFont="1" applyBorder="1" applyAlignment="1">
      <alignment horizontal="center"/>
    </xf>
    <xf numFmtId="164" fontId="5" fillId="0" borderId="8" xfId="0" quotePrefix="1" applyNumberFormat="1" applyFont="1" applyFill="1" applyBorder="1" applyAlignment="1">
      <alignment horizontal="center"/>
    </xf>
    <xf numFmtId="0" fontId="5" fillId="6" borderId="11" xfId="0" applyFont="1" applyFill="1" applyBorder="1"/>
    <xf numFmtId="43" fontId="5" fillId="6" borderId="12" xfId="1" applyFont="1" applyFill="1" applyBorder="1"/>
    <xf numFmtId="14" fontId="6" fillId="6" borderId="13" xfId="0" applyNumberFormat="1" applyFont="1" applyFill="1" applyBorder="1" applyAlignment="1">
      <alignment horizontal="center"/>
    </xf>
    <xf numFmtId="164" fontId="6" fillId="6" borderId="14" xfId="0" applyNumberFormat="1" applyFont="1" applyFill="1" applyBorder="1" applyAlignment="1">
      <alignment horizontal="center"/>
    </xf>
    <xf numFmtId="43" fontId="5" fillId="6" borderId="13" xfId="1" applyFont="1" applyFill="1" applyBorder="1"/>
    <xf numFmtId="43" fontId="5" fillId="6" borderId="11" xfId="1" applyFont="1" applyFill="1" applyBorder="1"/>
    <xf numFmtId="43" fontId="5" fillId="0" borderId="0" xfId="1" applyFont="1" applyFill="1" applyBorder="1"/>
    <xf numFmtId="43" fontId="5" fillId="6" borderId="15" xfId="1" applyFont="1" applyFill="1" applyBorder="1"/>
    <xf numFmtId="43" fontId="5" fillId="6" borderId="16" xfId="1" applyFont="1" applyFill="1" applyBorder="1"/>
    <xf numFmtId="0" fontId="5" fillId="6" borderId="17" xfId="0" applyFont="1" applyFill="1" applyBorder="1"/>
    <xf numFmtId="43" fontId="5" fillId="6" borderId="18" xfId="1" applyFont="1" applyFill="1" applyBorder="1"/>
    <xf numFmtId="14" fontId="6" fillId="6" borderId="19" xfId="0" applyNumberFormat="1" applyFont="1" applyFill="1" applyBorder="1" applyAlignment="1">
      <alignment horizontal="center"/>
    </xf>
    <xf numFmtId="164" fontId="6" fillId="6" borderId="20" xfId="0" applyNumberFormat="1" applyFont="1" applyFill="1" applyBorder="1" applyAlignment="1">
      <alignment horizontal="center"/>
    </xf>
    <xf numFmtId="43" fontId="5" fillId="6" borderId="19" xfId="1" applyFont="1" applyFill="1" applyBorder="1"/>
    <xf numFmtId="43" fontId="5" fillId="6" borderId="17" xfId="1" applyFont="1" applyFill="1" applyBorder="1"/>
    <xf numFmtId="43" fontId="5" fillId="6" borderId="20" xfId="1" applyFont="1" applyFill="1" applyBorder="1"/>
    <xf numFmtId="0" fontId="10" fillId="0" borderId="17" xfId="0" applyFont="1" applyBorder="1"/>
    <xf numFmtId="0" fontId="10" fillId="0" borderId="0" xfId="0" applyFont="1" applyAlignment="1">
      <alignment horizontal="center"/>
    </xf>
    <xf numFmtId="0" fontId="5" fillId="0" borderId="17" xfId="0" applyFont="1" applyBorder="1"/>
    <xf numFmtId="43" fontId="5" fillId="0" borderId="18" xfId="1" applyFont="1" applyBorder="1"/>
    <xf numFmtId="0" fontId="11" fillId="0" borderId="19" xfId="0" applyFont="1" applyFill="1" applyBorder="1" applyAlignment="1">
      <alignment horizontal="center"/>
    </xf>
    <xf numFmtId="164" fontId="12" fillId="0" borderId="20" xfId="0" applyNumberFormat="1" applyFont="1" applyFill="1" applyBorder="1" applyAlignment="1">
      <alignment horizontal="center"/>
    </xf>
    <xf numFmtId="43" fontId="5" fillId="0" borderId="19" xfId="1" applyFont="1" applyFill="1" applyBorder="1"/>
    <xf numFmtId="43" fontId="5" fillId="0" borderId="17" xfId="1" applyFont="1" applyFill="1" applyBorder="1"/>
    <xf numFmtId="43" fontId="5" fillId="0" borderId="18" xfId="1" applyFont="1" applyFill="1" applyBorder="1"/>
    <xf numFmtId="43" fontId="5" fillId="0" borderId="20" xfId="1" applyFont="1" applyFill="1" applyBorder="1"/>
    <xf numFmtId="0" fontId="5" fillId="6" borderId="21" xfId="0" applyFont="1" applyFill="1" applyBorder="1"/>
    <xf numFmtId="43" fontId="5" fillId="6" borderId="22" xfId="1" applyFont="1" applyFill="1" applyBorder="1"/>
    <xf numFmtId="14" fontId="6" fillId="6" borderId="23" xfId="0" applyNumberFormat="1" applyFont="1" applyFill="1" applyBorder="1" applyAlignment="1">
      <alignment horizontal="center"/>
    </xf>
    <xf numFmtId="164" fontId="6" fillId="6" borderId="24" xfId="0" applyNumberFormat="1" applyFont="1" applyFill="1" applyBorder="1" applyAlignment="1">
      <alignment horizontal="center"/>
    </xf>
    <xf numFmtId="43" fontId="5" fillId="6" borderId="23" xfId="1" applyFont="1" applyFill="1" applyBorder="1"/>
    <xf numFmtId="43" fontId="5" fillId="6" borderId="21" xfId="1" applyFont="1" applyFill="1" applyBorder="1"/>
    <xf numFmtId="43" fontId="5" fillId="6" borderId="24" xfId="1" applyFont="1" applyFill="1" applyBorder="1"/>
    <xf numFmtId="43" fontId="5" fillId="0" borderId="8" xfId="1" applyFont="1" applyBorder="1"/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43" fontId="5" fillId="0" borderId="25" xfId="1" applyFont="1" applyBorder="1"/>
    <xf numFmtId="43" fontId="5" fillId="0" borderId="9" xfId="1" applyFont="1" applyBorder="1"/>
    <xf numFmtId="43" fontId="5" fillId="0" borderId="26" xfId="1" applyFont="1" applyBorder="1"/>
    <xf numFmtId="0" fontId="10" fillId="0" borderId="0" xfId="0" applyFont="1"/>
    <xf numFmtId="43" fontId="5" fillId="0" borderId="27" xfId="1" applyFont="1" applyBorder="1"/>
    <xf numFmtId="43" fontId="5" fillId="0" borderId="0" xfId="1" applyFont="1" applyBorder="1"/>
    <xf numFmtId="43" fontId="5" fillId="6" borderId="28" xfId="1" applyFont="1" applyFill="1" applyBorder="1"/>
    <xf numFmtId="0" fontId="10" fillId="0" borderId="15" xfId="0" applyFont="1" applyBorder="1"/>
    <xf numFmtId="0" fontId="5" fillId="5" borderId="17" xfId="0" applyFont="1" applyFill="1" applyBorder="1"/>
    <xf numFmtId="43" fontId="5" fillId="5" borderId="18" xfId="1" applyFont="1" applyFill="1" applyBorder="1"/>
    <xf numFmtId="14" fontId="6" fillId="5" borderId="19" xfId="0" applyNumberFormat="1" applyFont="1" applyFill="1" applyBorder="1" applyAlignment="1">
      <alignment horizontal="center"/>
    </xf>
    <xf numFmtId="164" fontId="6" fillId="5" borderId="20" xfId="0" applyNumberFormat="1" applyFont="1" applyFill="1" applyBorder="1" applyAlignment="1">
      <alignment horizontal="center"/>
    </xf>
    <xf numFmtId="43" fontId="5" fillId="5" borderId="19" xfId="1" applyFont="1" applyFill="1" applyBorder="1"/>
    <xf numFmtId="43" fontId="5" fillId="5" borderId="17" xfId="1" applyFont="1" applyFill="1" applyBorder="1"/>
    <xf numFmtId="43" fontId="9" fillId="5" borderId="17" xfId="1" applyFont="1" applyFill="1" applyBorder="1"/>
    <xf numFmtId="43" fontId="5" fillId="5" borderId="20" xfId="1" applyFont="1" applyFill="1" applyBorder="1"/>
    <xf numFmtId="0" fontId="13" fillId="0" borderId="17" xfId="0" applyFont="1" applyBorder="1"/>
    <xf numFmtId="0" fontId="5" fillId="6" borderId="29" xfId="0" applyFont="1" applyFill="1" applyBorder="1"/>
    <xf numFmtId="43" fontId="5" fillId="6" borderId="30" xfId="1" applyFont="1" applyFill="1" applyBorder="1"/>
    <xf numFmtId="14" fontId="6" fillId="6" borderId="31" xfId="0" applyNumberFormat="1" applyFont="1" applyFill="1" applyBorder="1" applyAlignment="1">
      <alignment horizontal="center"/>
    </xf>
    <xf numFmtId="164" fontId="6" fillId="6" borderId="31" xfId="0" applyNumberFormat="1" applyFont="1" applyFill="1" applyBorder="1" applyAlignment="1">
      <alignment horizontal="center"/>
    </xf>
    <xf numFmtId="43" fontId="5" fillId="6" borderId="32" xfId="1" applyFont="1" applyFill="1" applyBorder="1"/>
    <xf numFmtId="43" fontId="5" fillId="6" borderId="29" xfId="1" applyFont="1" applyFill="1" applyBorder="1"/>
    <xf numFmtId="43" fontId="5" fillId="6" borderId="31" xfId="1" applyFont="1" applyFill="1" applyBorder="1"/>
    <xf numFmtId="43" fontId="5" fillId="0" borderId="25" xfId="0" applyNumberFormat="1" applyFont="1" applyBorder="1"/>
    <xf numFmtId="43" fontId="5" fillId="0" borderId="8" xfId="0" applyNumberFormat="1" applyFont="1" applyBorder="1"/>
    <xf numFmtId="43" fontId="5" fillId="0" borderId="9" xfId="0" applyNumberFormat="1" applyFont="1" applyBorder="1"/>
    <xf numFmtId="43" fontId="5" fillId="0" borderId="0" xfId="0" applyNumberFormat="1" applyFont="1" applyFill="1" applyBorder="1"/>
    <xf numFmtId="43" fontId="5" fillId="0" borderId="26" xfId="0" applyNumberFormat="1" applyFont="1" applyBorder="1"/>
    <xf numFmtId="43" fontId="5" fillId="0" borderId="33" xfId="0" applyNumberFormat="1" applyFont="1" applyBorder="1"/>
    <xf numFmtId="43" fontId="9" fillId="0" borderId="34" xfId="0" applyNumberFormat="1" applyFont="1" applyBorder="1"/>
    <xf numFmtId="43" fontId="9" fillId="0" borderId="35" xfId="0" applyNumberFormat="1" applyFont="1" applyBorder="1"/>
    <xf numFmtId="43" fontId="9" fillId="0" borderId="0" xfId="0" applyNumberFormat="1" applyFont="1" applyFill="1" applyBorder="1"/>
    <xf numFmtId="43" fontId="9" fillId="0" borderId="36" xfId="0" applyNumberFormat="1" applyFont="1" applyBorder="1"/>
    <xf numFmtId="43" fontId="9" fillId="0" borderId="37" xfId="0" applyNumberFormat="1" applyFont="1" applyBorder="1"/>
    <xf numFmtId="43" fontId="9" fillId="0" borderId="38" xfId="0" applyNumberFormat="1" applyFont="1" applyBorder="1"/>
    <xf numFmtId="8" fontId="5" fillId="0" borderId="0" xfId="0" applyNumberFormat="1" applyFont="1"/>
    <xf numFmtId="43" fontId="0" fillId="0" borderId="0" xfId="1" applyFont="1"/>
    <xf numFmtId="43" fontId="5" fillId="2" borderId="5" xfId="1" applyFont="1" applyFill="1" applyBorder="1"/>
    <xf numFmtId="43" fontId="5" fillId="2" borderId="7" xfId="1" applyFont="1" applyFill="1" applyBorder="1"/>
    <xf numFmtId="43" fontId="5" fillId="2" borderId="6" xfId="1" applyFont="1" applyFill="1" applyBorder="1"/>
    <xf numFmtId="43" fontId="5" fillId="2" borderId="1" xfId="1" applyFont="1" applyFill="1" applyBorder="1"/>
    <xf numFmtId="43" fontId="5" fillId="2" borderId="1" xfId="1" applyFont="1" applyFill="1" applyBorder="1" applyAlignment="1">
      <alignment horizontal="center"/>
    </xf>
    <xf numFmtId="43" fontId="0" fillId="0" borderId="0" xfId="1" applyFont="1" applyFill="1"/>
    <xf numFmtId="43" fontId="5" fillId="3" borderId="5" xfId="1" applyFont="1" applyFill="1" applyBorder="1"/>
    <xf numFmtId="43" fontId="5" fillId="3" borderId="7" xfId="1" applyFont="1" applyFill="1" applyBorder="1"/>
    <xf numFmtId="43" fontId="5" fillId="3" borderId="1" xfId="1" applyFont="1" applyFill="1" applyBorder="1"/>
    <xf numFmtId="43" fontId="5" fillId="3" borderId="1" xfId="1" applyFont="1" applyFill="1" applyBorder="1" applyAlignment="1">
      <alignment horizontal="center"/>
    </xf>
    <xf numFmtId="43" fontId="9" fillId="2" borderId="5" xfId="1" applyFont="1" applyFill="1" applyBorder="1"/>
    <xf numFmtId="43" fontId="9" fillId="2" borderId="7" xfId="1" applyFont="1" applyFill="1" applyBorder="1"/>
    <xf numFmtId="43" fontId="9" fillId="2" borderId="1" xfId="1" applyFont="1" applyFill="1" applyBorder="1"/>
    <xf numFmtId="43" fontId="9" fillId="2" borderId="1" xfId="1" applyFont="1" applyFill="1" applyBorder="1" applyAlignment="1">
      <alignment horizontal="center"/>
    </xf>
    <xf numFmtId="43" fontId="4" fillId="0" borderId="0" xfId="1" applyFont="1" applyFill="1"/>
    <xf numFmtId="43" fontId="0" fillId="0" borderId="0" xfId="1" applyFont="1" applyAlignment="1">
      <alignment horizontal="center"/>
    </xf>
    <xf numFmtId="43" fontId="5" fillId="0" borderId="0" xfId="1" applyFont="1" applyAlignment="1">
      <alignment horizontal="center"/>
    </xf>
    <xf numFmtId="43" fontId="5" fillId="0" borderId="0" xfId="1" applyFont="1" applyFill="1"/>
    <xf numFmtId="43" fontId="5" fillId="0" borderId="1" xfId="1" applyFont="1" applyBorder="1" applyAlignment="1">
      <alignment horizontal="center"/>
    </xf>
    <xf numFmtId="43" fontId="5" fillId="4" borderId="0" xfId="1" applyFont="1" applyFill="1" applyAlignment="1">
      <alignment horizontal="center"/>
    </xf>
    <xf numFmtId="43" fontId="5" fillId="4" borderId="0" xfId="1" applyFont="1" applyFill="1"/>
    <xf numFmtId="43" fontId="0" fillId="0" borderId="0" xfId="1" applyFont="1" applyBorder="1" applyAlignment="1">
      <alignment horizontal="center"/>
    </xf>
    <xf numFmtId="43" fontId="5" fillId="0" borderId="0" xfId="1" applyFont="1" applyBorder="1" applyAlignment="1">
      <alignment horizontal="center"/>
    </xf>
    <xf numFmtId="43" fontId="5" fillId="4" borderId="1" xfId="1" applyFont="1" applyFill="1" applyBorder="1"/>
    <xf numFmtId="43" fontId="9" fillId="4" borderId="1" xfId="1" applyFont="1" applyFill="1" applyBorder="1"/>
    <xf numFmtId="43" fontId="14" fillId="0" borderId="0" xfId="1" applyFont="1"/>
    <xf numFmtId="43" fontId="14" fillId="0" borderId="0" xfId="1" applyFont="1" applyFill="1"/>
    <xf numFmtId="41" fontId="5" fillId="3" borderId="6" xfId="1" applyNumberFormat="1" applyFont="1" applyFill="1" applyBorder="1"/>
    <xf numFmtId="41" fontId="5" fillId="2" borderId="6" xfId="1" applyNumberFormat="1" applyFont="1" applyFill="1" applyBorder="1"/>
    <xf numFmtId="41" fontId="9" fillId="2" borderId="7" xfId="1" applyNumberFormat="1" applyFont="1" applyFill="1" applyBorder="1"/>
    <xf numFmtId="41" fontId="9" fillId="2" borderId="6" xfId="1" applyNumberFormat="1" applyFont="1" applyFill="1" applyBorder="1"/>
    <xf numFmtId="164" fontId="6" fillId="0" borderId="14" xfId="0" applyNumberFormat="1" applyFont="1" applyFill="1" applyBorder="1" applyAlignment="1">
      <alignment horizontal="center"/>
    </xf>
    <xf numFmtId="0" fontId="5" fillId="0" borderId="17" xfId="0" applyFont="1" applyFill="1" applyBorder="1"/>
    <xf numFmtId="43" fontId="5" fillId="0" borderId="18" xfId="1" applyFont="1" applyFill="1" applyBorder="1" applyAlignment="1">
      <alignment horizontal="center"/>
    </xf>
    <xf numFmtId="43" fontId="5" fillId="0" borderId="8" xfId="1" applyFont="1" applyBorder="1" applyAlignment="1">
      <alignment horizontal="center"/>
    </xf>
    <xf numFmtId="43" fontId="5" fillId="0" borderId="33" xfId="0" applyNumberFormat="1" applyFont="1" applyBorder="1" applyAlignment="1">
      <alignment horizontal="center"/>
    </xf>
    <xf numFmtId="0" fontId="5" fillId="3" borderId="17" xfId="0" applyFont="1" applyFill="1" applyBorder="1"/>
    <xf numFmtId="43" fontId="5" fillId="3" borderId="18" xfId="1" applyFont="1" applyFill="1" applyBorder="1" applyAlignment="1">
      <alignment horizontal="center"/>
    </xf>
    <xf numFmtId="0" fontId="5" fillId="3" borderId="0" xfId="0" applyFont="1" applyFill="1" applyBorder="1"/>
    <xf numFmtId="14" fontId="6" fillId="3" borderId="19" xfId="0" applyNumberFormat="1" applyFont="1" applyFill="1" applyBorder="1" applyAlignment="1">
      <alignment horizontal="center"/>
    </xf>
    <xf numFmtId="164" fontId="6" fillId="3" borderId="14" xfId="0" applyNumberFormat="1" applyFont="1" applyFill="1" applyBorder="1" applyAlignment="1">
      <alignment horizontal="center"/>
    </xf>
    <xf numFmtId="43" fontId="5" fillId="3" borderId="19" xfId="1" applyFont="1" applyFill="1" applyBorder="1"/>
    <xf numFmtId="43" fontId="5" fillId="3" borderId="17" xfId="1" applyFont="1" applyFill="1" applyBorder="1"/>
    <xf numFmtId="43" fontId="5" fillId="3" borderId="18" xfId="1" applyFont="1" applyFill="1" applyBorder="1"/>
    <xf numFmtId="43" fontId="5" fillId="3" borderId="0" xfId="1" applyFont="1" applyFill="1" applyBorder="1"/>
    <xf numFmtId="0" fontId="5" fillId="3" borderId="29" xfId="0" applyFont="1" applyFill="1" applyBorder="1"/>
    <xf numFmtId="43" fontId="5" fillId="3" borderId="30" xfId="1" applyFont="1" applyFill="1" applyBorder="1" applyAlignment="1">
      <alignment horizontal="center"/>
    </xf>
    <xf numFmtId="14" fontId="6" fillId="3" borderId="31" xfId="0" applyNumberFormat="1" applyFont="1" applyFill="1" applyBorder="1" applyAlignment="1">
      <alignment horizontal="center"/>
    </xf>
    <xf numFmtId="164" fontId="6" fillId="3" borderId="24" xfId="0" applyNumberFormat="1" applyFont="1" applyFill="1" applyBorder="1" applyAlignment="1">
      <alignment horizontal="center"/>
    </xf>
    <xf numFmtId="43" fontId="5" fillId="3" borderId="32" xfId="1" applyFont="1" applyFill="1" applyBorder="1"/>
    <xf numFmtId="43" fontId="5" fillId="3" borderId="29" xfId="1" applyFont="1" applyFill="1" applyBorder="1"/>
    <xf numFmtId="0" fontId="5" fillId="0" borderId="0" xfId="0" applyFont="1" applyAlignment="1">
      <alignment horizontal="left"/>
    </xf>
    <xf numFmtId="0" fontId="5" fillId="0" borderId="8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0" fontId="10" fillId="0" borderId="0" xfId="0" applyFont="1" applyAlignment="1">
      <alignment horizontal="left"/>
    </xf>
    <xf numFmtId="43" fontId="15" fillId="0" borderId="0" xfId="1" applyFont="1" applyBorder="1" applyAlignment="1">
      <alignment horizontal="center"/>
    </xf>
    <xf numFmtId="43" fontId="16" fillId="0" borderId="0" xfId="1" applyFont="1"/>
    <xf numFmtId="164" fontId="5" fillId="0" borderId="0" xfId="0" applyNumberFormat="1" applyFont="1" applyBorder="1" applyAlignment="1">
      <alignment horizontal="center" vertical="center"/>
    </xf>
    <xf numFmtId="164" fontId="5" fillId="0" borderId="8" xfId="0" applyNumberFormat="1" applyFont="1" applyBorder="1" applyAlignment="1">
      <alignment horizontal="center" vertical="center"/>
    </xf>
    <xf numFmtId="49" fontId="5" fillId="0" borderId="8" xfId="0" applyNumberFormat="1" applyFont="1" applyBorder="1" applyAlignment="1">
      <alignment horizontal="center"/>
    </xf>
    <xf numFmtId="0" fontId="5" fillId="0" borderId="0" xfId="0" applyFont="1" applyFill="1"/>
    <xf numFmtId="0" fontId="5" fillId="0" borderId="0" xfId="0" applyFont="1" applyFill="1" applyAlignment="1">
      <alignment horizontal="left"/>
    </xf>
    <xf numFmtId="14" fontId="5" fillId="0" borderId="0" xfId="0" applyNumberFormat="1" applyFont="1" applyFill="1" applyAlignment="1">
      <alignment horizontal="left"/>
    </xf>
    <xf numFmtId="0" fontId="5" fillId="0" borderId="25" xfId="0" applyFont="1" applyBorder="1" applyAlignment="1">
      <alignment horizontal="center"/>
    </xf>
    <xf numFmtId="164" fontId="6" fillId="0" borderId="43" xfId="0" applyNumberFormat="1" applyFont="1" applyFill="1" applyBorder="1" applyAlignment="1">
      <alignment horizontal="center"/>
    </xf>
    <xf numFmtId="14" fontId="6" fillId="0" borderId="17" xfId="0" applyNumberFormat="1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0" fontId="5" fillId="0" borderId="50" xfId="0" applyFont="1" applyFill="1" applyBorder="1"/>
    <xf numFmtId="43" fontId="5" fillId="0" borderId="50" xfId="1" applyFont="1" applyFill="1" applyBorder="1"/>
    <xf numFmtId="0" fontId="5" fillId="0" borderId="51" xfId="0" applyFont="1" applyFill="1" applyBorder="1"/>
    <xf numFmtId="0" fontId="10" fillId="0" borderId="51" xfId="0" applyFont="1" applyFill="1" applyBorder="1" applyAlignment="1">
      <alignment horizontal="center"/>
    </xf>
    <xf numFmtId="43" fontId="5" fillId="0" borderId="52" xfId="0" applyNumberFormat="1" applyFont="1" applyBorder="1" applyAlignment="1">
      <alignment horizontal="center"/>
    </xf>
    <xf numFmtId="43" fontId="5" fillId="0" borderId="47" xfId="1" applyFont="1" applyFill="1" applyBorder="1"/>
    <xf numFmtId="43" fontId="5" fillId="0" borderId="48" xfId="1" applyFont="1" applyBorder="1"/>
    <xf numFmtId="43" fontId="5" fillId="0" borderId="51" xfId="1" applyFont="1" applyBorder="1"/>
    <xf numFmtId="43" fontId="5" fillId="0" borderId="48" xfId="0" applyNumberFormat="1" applyFont="1" applyBorder="1"/>
    <xf numFmtId="43" fontId="9" fillId="0" borderId="53" xfId="0" applyNumberFormat="1" applyFont="1" applyBorder="1"/>
    <xf numFmtId="43" fontId="5" fillId="0" borderId="48" xfId="1" applyFont="1" applyFill="1" applyBorder="1"/>
    <xf numFmtId="43" fontId="5" fillId="0" borderId="45" xfId="0" applyNumberFormat="1" applyFont="1" applyBorder="1" applyAlignment="1">
      <alignment horizontal="center"/>
    </xf>
    <xf numFmtId="43" fontId="5" fillId="0" borderId="17" xfId="1" applyFont="1" applyFill="1" applyBorder="1" applyAlignment="1">
      <alignment horizontal="center"/>
    </xf>
    <xf numFmtId="43" fontId="9" fillId="0" borderId="35" xfId="0" applyNumberFormat="1" applyFont="1" applyBorder="1" applyAlignment="1">
      <alignment horizontal="center"/>
    </xf>
    <xf numFmtId="43" fontId="5" fillId="0" borderId="50" xfId="0" applyNumberFormat="1" applyFont="1" applyFill="1" applyBorder="1"/>
    <xf numFmtId="43" fontId="9" fillId="0" borderId="50" xfId="0" applyNumberFormat="1" applyFont="1" applyFill="1" applyBorder="1"/>
    <xf numFmtId="43" fontId="0" fillId="0" borderId="0" xfId="1" applyFont="1" applyFill="1" applyAlignment="1">
      <alignment horizontal="center"/>
    </xf>
    <xf numFmtId="43" fontId="5" fillId="0" borderId="0" xfId="1" applyFont="1" applyFill="1" applyAlignment="1">
      <alignment horizontal="center"/>
    </xf>
    <xf numFmtId="43" fontId="17" fillId="2" borderId="5" xfId="1" applyFont="1" applyFill="1" applyBorder="1" applyAlignment="1">
      <alignment horizontal="center"/>
    </xf>
    <xf numFmtId="43" fontId="17" fillId="2" borderId="7" xfId="1" applyFont="1" applyFill="1" applyBorder="1" applyAlignment="1">
      <alignment horizontal="center"/>
    </xf>
    <xf numFmtId="43" fontId="17" fillId="2" borderId="6" xfId="1" applyFont="1" applyFill="1" applyBorder="1" applyAlignment="1">
      <alignment horizontal="center"/>
    </xf>
    <xf numFmtId="43" fontId="17" fillId="2" borderId="1" xfId="1" applyFont="1" applyFill="1" applyBorder="1" applyAlignment="1">
      <alignment horizontal="center"/>
    </xf>
    <xf numFmtId="43" fontId="17" fillId="4" borderId="1" xfId="1" applyFont="1" applyFill="1" applyBorder="1" applyAlignment="1">
      <alignment horizontal="center"/>
    </xf>
    <xf numFmtId="43" fontId="17" fillId="3" borderId="7" xfId="1" applyFont="1" applyFill="1" applyBorder="1" applyAlignment="1">
      <alignment horizontal="center"/>
    </xf>
    <xf numFmtId="43" fontId="17" fillId="3" borderId="1" xfId="1" applyFont="1" applyFill="1" applyBorder="1" applyAlignment="1">
      <alignment horizontal="center"/>
    </xf>
    <xf numFmtId="43" fontId="17" fillId="3" borderId="5" xfId="1" applyFont="1" applyFill="1" applyBorder="1" applyAlignment="1">
      <alignment horizontal="center"/>
    </xf>
    <xf numFmtId="41" fontId="17" fillId="3" borderId="6" xfId="1" applyNumberFormat="1" applyFont="1" applyFill="1" applyBorder="1" applyAlignment="1">
      <alignment horizontal="center"/>
    </xf>
    <xf numFmtId="41" fontId="17" fillId="2" borderId="6" xfId="1" applyNumberFormat="1" applyFont="1" applyFill="1" applyBorder="1" applyAlignment="1">
      <alignment horizontal="center"/>
    </xf>
    <xf numFmtId="43" fontId="18" fillId="2" borderId="5" xfId="1" applyFont="1" applyFill="1" applyBorder="1" applyAlignment="1">
      <alignment horizontal="center"/>
    </xf>
    <xf numFmtId="43" fontId="18" fillId="2" borderId="7" xfId="1" applyFont="1" applyFill="1" applyBorder="1" applyAlignment="1">
      <alignment horizontal="center"/>
    </xf>
    <xf numFmtId="41" fontId="18" fillId="2" borderId="7" xfId="1" applyNumberFormat="1" applyFont="1" applyFill="1" applyBorder="1" applyAlignment="1">
      <alignment horizontal="center"/>
    </xf>
    <xf numFmtId="43" fontId="18" fillId="2" borderId="1" xfId="1" applyFont="1" applyFill="1" applyBorder="1" applyAlignment="1">
      <alignment horizontal="center"/>
    </xf>
    <xf numFmtId="43" fontId="18" fillId="4" borderId="1" xfId="1" applyFont="1" applyFill="1" applyBorder="1" applyAlignment="1">
      <alignment horizontal="center"/>
    </xf>
    <xf numFmtId="41" fontId="18" fillId="2" borderId="6" xfId="1" applyNumberFormat="1" applyFont="1" applyFill="1" applyBorder="1" applyAlignment="1">
      <alignment horizontal="center"/>
    </xf>
    <xf numFmtId="43" fontId="17" fillId="4" borderId="5" xfId="1" applyFont="1" applyFill="1" applyBorder="1" applyAlignment="1">
      <alignment horizontal="center"/>
    </xf>
    <xf numFmtId="43" fontId="17" fillId="7" borderId="1" xfId="1" applyFont="1" applyFill="1" applyBorder="1" applyAlignment="1">
      <alignment horizontal="center"/>
    </xf>
    <xf numFmtId="41" fontId="17" fillId="4" borderId="6" xfId="1" applyNumberFormat="1" applyFont="1" applyFill="1" applyBorder="1" applyAlignment="1">
      <alignment horizontal="center"/>
    </xf>
    <xf numFmtId="43" fontId="5" fillId="0" borderId="51" xfId="1" applyFont="1" applyFill="1" applyBorder="1"/>
    <xf numFmtId="0" fontId="5" fillId="0" borderId="8" xfId="0" applyFont="1" applyFill="1" applyBorder="1"/>
    <xf numFmtId="43" fontId="5" fillId="0" borderId="0" xfId="1" applyFont="1" applyFill="1" applyBorder="1" applyAlignment="1">
      <alignment horizontal="center"/>
    </xf>
    <xf numFmtId="0" fontId="9" fillId="0" borderId="0" xfId="0" applyFont="1" applyBorder="1"/>
    <xf numFmtId="0" fontId="5" fillId="0" borderId="0" xfId="0" applyFont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center"/>
    </xf>
    <xf numFmtId="43" fontId="5" fillId="0" borderId="8" xfId="1" applyFont="1" applyFill="1" applyBorder="1"/>
    <xf numFmtId="43" fontId="5" fillId="0" borderId="55" xfId="0" applyNumberFormat="1" applyFont="1" applyBorder="1" applyAlignment="1">
      <alignment horizontal="center"/>
    </xf>
    <xf numFmtId="43" fontId="5" fillId="3" borderId="0" xfId="1" applyFont="1" applyFill="1" applyBorder="1" applyAlignment="1">
      <alignment horizontal="center"/>
    </xf>
    <xf numFmtId="0" fontId="5" fillId="3" borderId="51" xfId="0" applyFont="1" applyFill="1" applyBorder="1"/>
    <xf numFmtId="14" fontId="6" fillId="3" borderId="17" xfId="0" applyNumberFormat="1" applyFont="1" applyFill="1" applyBorder="1" applyAlignment="1">
      <alignment horizontal="center"/>
    </xf>
    <xf numFmtId="164" fontId="6" fillId="3" borderId="43" xfId="0" applyNumberFormat="1" applyFont="1" applyFill="1" applyBorder="1" applyAlignment="1">
      <alignment horizontal="center"/>
    </xf>
    <xf numFmtId="43" fontId="5" fillId="3" borderId="47" xfId="1" applyFont="1" applyFill="1" applyBorder="1"/>
    <xf numFmtId="43" fontId="5" fillId="3" borderId="50" xfId="1" applyFont="1" applyFill="1" applyBorder="1"/>
    <xf numFmtId="43" fontId="5" fillId="3" borderId="17" xfId="1" applyFont="1" applyFill="1" applyBorder="1" applyAlignment="1">
      <alignment horizontal="center"/>
    </xf>
    <xf numFmtId="0" fontId="5" fillId="3" borderId="50" xfId="0" applyFont="1" applyFill="1" applyBorder="1"/>
    <xf numFmtId="43" fontId="5" fillId="3" borderId="51" xfId="1" applyFont="1" applyFill="1" applyBorder="1"/>
    <xf numFmtId="0" fontId="5" fillId="3" borderId="54" xfId="0" applyFont="1" applyFill="1" applyBorder="1"/>
    <xf numFmtId="43" fontId="5" fillId="3" borderId="8" xfId="1" applyFont="1" applyFill="1" applyBorder="1" applyAlignment="1">
      <alignment horizontal="center"/>
    </xf>
    <xf numFmtId="43" fontId="5" fillId="3" borderId="48" xfId="1" applyFont="1" applyFill="1" applyBorder="1"/>
    <xf numFmtId="0" fontId="5" fillId="3" borderId="56" xfId="0" applyFont="1" applyFill="1" applyBorder="1"/>
    <xf numFmtId="14" fontId="6" fillId="3" borderId="9" xfId="0" applyNumberFormat="1" applyFont="1" applyFill="1" applyBorder="1" applyAlignment="1">
      <alignment horizontal="center"/>
    </xf>
    <xf numFmtId="164" fontId="6" fillId="3" borderId="57" xfId="0" applyNumberFormat="1" applyFont="1" applyFill="1" applyBorder="1" applyAlignment="1">
      <alignment horizontal="center"/>
    </xf>
    <xf numFmtId="43" fontId="5" fillId="3" borderId="8" xfId="1" applyFont="1" applyFill="1" applyBorder="1"/>
    <xf numFmtId="14" fontId="6" fillId="3" borderId="58" xfId="0" applyNumberFormat="1" applyFont="1" applyFill="1" applyBorder="1" applyAlignment="1">
      <alignment horizontal="center"/>
    </xf>
    <xf numFmtId="164" fontId="6" fillId="3" borderId="59" xfId="0" applyNumberFormat="1" applyFont="1" applyFill="1" applyBorder="1" applyAlignment="1">
      <alignment horizontal="center"/>
    </xf>
    <xf numFmtId="43" fontId="5" fillId="3" borderId="60" xfId="1" applyFont="1" applyFill="1" applyBorder="1"/>
    <xf numFmtId="43" fontId="5" fillId="3" borderId="61" xfId="1" applyFont="1" applyFill="1" applyBorder="1"/>
    <xf numFmtId="43" fontId="5" fillId="3" borderId="60" xfId="1" applyFont="1" applyFill="1" applyBorder="1" applyAlignment="1">
      <alignment horizontal="center"/>
    </xf>
    <xf numFmtId="164" fontId="6" fillId="3" borderId="42" xfId="0" applyNumberFormat="1" applyFont="1" applyFill="1" applyBorder="1" applyAlignment="1">
      <alignment horizontal="center"/>
    </xf>
    <xf numFmtId="43" fontId="5" fillId="3" borderId="46" xfId="1" applyFont="1" applyFill="1" applyBorder="1"/>
    <xf numFmtId="0" fontId="5" fillId="3" borderId="48" xfId="0" applyFont="1" applyFill="1" applyBorder="1"/>
    <xf numFmtId="14" fontId="6" fillId="3" borderId="29" xfId="0" applyNumberFormat="1" applyFont="1" applyFill="1" applyBorder="1" applyAlignment="1">
      <alignment horizontal="center"/>
    </xf>
    <xf numFmtId="164" fontId="6" fillId="3" borderId="44" xfId="0" applyNumberFormat="1" applyFont="1" applyFill="1" applyBorder="1" applyAlignment="1">
      <alignment horizontal="center"/>
    </xf>
    <xf numFmtId="43" fontId="5" fillId="3" borderId="49" xfId="1" applyFont="1" applyFill="1" applyBorder="1"/>
    <xf numFmtId="43" fontId="5" fillId="3" borderId="29" xfId="1" applyFont="1" applyFill="1" applyBorder="1" applyAlignment="1">
      <alignment horizontal="center"/>
    </xf>
    <xf numFmtId="0" fontId="5" fillId="5" borderId="0" xfId="0" applyFont="1" applyFill="1" applyBorder="1"/>
    <xf numFmtId="43" fontId="5" fillId="5" borderId="0" xfId="1" applyFont="1" applyFill="1" applyBorder="1" applyAlignment="1">
      <alignment horizontal="center"/>
    </xf>
    <xf numFmtId="0" fontId="5" fillId="5" borderId="51" xfId="0" applyFont="1" applyFill="1" applyBorder="1"/>
    <xf numFmtId="14" fontId="6" fillId="5" borderId="17" xfId="0" applyNumberFormat="1" applyFont="1" applyFill="1" applyBorder="1" applyAlignment="1">
      <alignment horizontal="center"/>
    </xf>
    <xf numFmtId="164" fontId="6" fillId="5" borderId="43" xfId="0" applyNumberFormat="1" applyFont="1" applyFill="1" applyBorder="1" applyAlignment="1">
      <alignment horizontal="center"/>
    </xf>
    <xf numFmtId="43" fontId="5" fillId="5" borderId="47" xfId="1" applyFont="1" applyFill="1" applyBorder="1"/>
    <xf numFmtId="43" fontId="5" fillId="5" borderId="50" xfId="1" applyFont="1" applyFill="1" applyBorder="1"/>
    <xf numFmtId="43" fontId="5" fillId="5" borderId="17" xfId="1" applyFont="1" applyFill="1" applyBorder="1" applyAlignment="1">
      <alignment horizontal="center"/>
    </xf>
    <xf numFmtId="0" fontId="5" fillId="5" borderId="50" xfId="0" applyFont="1" applyFill="1" applyBorder="1"/>
    <xf numFmtId="43" fontId="17" fillId="3" borderId="1" xfId="1" applyFont="1" applyFill="1" applyBorder="1" applyAlignment="1">
      <alignment horizontal="center" vertical="center" wrapText="1"/>
    </xf>
    <xf numFmtId="43" fontId="17" fillId="3" borderId="39" xfId="1" applyFont="1" applyFill="1" applyBorder="1" applyAlignment="1">
      <alignment horizontal="center" vertical="center"/>
    </xf>
    <xf numFmtId="43" fontId="17" fillId="3" borderId="40" xfId="1" applyFont="1" applyFill="1" applyBorder="1" applyAlignment="1">
      <alignment horizontal="center" vertical="center"/>
    </xf>
    <xf numFmtId="43" fontId="17" fillId="3" borderId="41" xfId="1" applyFont="1" applyFill="1" applyBorder="1" applyAlignment="1">
      <alignment horizontal="center" vertical="center"/>
    </xf>
    <xf numFmtId="43" fontId="17" fillId="3" borderId="7" xfId="1" applyFont="1" applyFill="1" applyBorder="1" applyAlignment="1">
      <alignment horizontal="center" vertical="center" wrapText="1"/>
    </xf>
    <xf numFmtId="43" fontId="17" fillId="3" borderId="6" xfId="1" applyFont="1" applyFill="1" applyBorder="1" applyAlignment="1">
      <alignment horizontal="center" vertical="center" wrapText="1"/>
    </xf>
    <xf numFmtId="43" fontId="17" fillId="4" borderId="1" xfId="1" applyFont="1" applyFill="1" applyBorder="1" applyAlignment="1">
      <alignment horizontal="center" vertical="center" wrapText="1"/>
    </xf>
    <xf numFmtId="43" fontId="17" fillId="3" borderId="2" xfId="1" applyFont="1" applyFill="1" applyBorder="1" applyAlignment="1">
      <alignment horizontal="center" vertical="center"/>
    </xf>
    <xf numFmtId="43" fontId="17" fillId="3" borderId="3" xfId="1" applyFont="1" applyFill="1" applyBorder="1" applyAlignment="1">
      <alignment horizontal="center" vertical="center"/>
    </xf>
    <xf numFmtId="43" fontId="17" fillId="3" borderId="4" xfId="1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43" fontId="5" fillId="3" borderId="39" xfId="1" applyFont="1" applyFill="1" applyBorder="1" applyAlignment="1">
      <alignment horizontal="center" vertical="center"/>
    </xf>
    <xf numFmtId="43" fontId="5" fillId="3" borderId="40" xfId="1" applyFont="1" applyFill="1" applyBorder="1" applyAlignment="1">
      <alignment horizontal="center" vertical="center"/>
    </xf>
    <xf numFmtId="43" fontId="5" fillId="3" borderId="41" xfId="1" applyFont="1" applyFill="1" applyBorder="1" applyAlignment="1">
      <alignment horizontal="center" vertical="center"/>
    </xf>
    <xf numFmtId="43" fontId="5" fillId="3" borderId="1" xfId="1" applyFont="1" applyFill="1" applyBorder="1" applyAlignment="1">
      <alignment horizontal="center" vertical="center" wrapText="1"/>
    </xf>
    <xf numFmtId="43" fontId="5" fillId="4" borderId="1" xfId="1" applyFont="1" applyFill="1" applyBorder="1" applyAlignment="1">
      <alignment horizontal="center" vertical="center" wrapText="1"/>
    </xf>
    <xf numFmtId="43" fontId="5" fillId="3" borderId="2" xfId="1" applyFont="1" applyFill="1" applyBorder="1" applyAlignment="1">
      <alignment horizontal="center" vertical="center"/>
    </xf>
    <xf numFmtId="43" fontId="5" fillId="3" borderId="3" xfId="1" applyFont="1" applyFill="1" applyBorder="1" applyAlignment="1">
      <alignment horizontal="center" vertical="center"/>
    </xf>
    <xf numFmtId="43" fontId="5" fillId="3" borderId="4" xfId="1" applyFont="1" applyFill="1" applyBorder="1" applyAlignment="1">
      <alignment horizontal="center" vertical="center"/>
    </xf>
    <xf numFmtId="43" fontId="5" fillId="3" borderId="7" xfId="1" applyFont="1" applyFill="1" applyBorder="1" applyAlignment="1">
      <alignment horizontal="center" vertical="center" wrapText="1"/>
    </xf>
    <xf numFmtId="43" fontId="5" fillId="3" borderId="6" xfId="1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53"/>
  <sheetViews>
    <sheetView zoomScale="90" zoomScaleNormal="90" workbookViewId="0">
      <selection activeCell="N45" sqref="N45:N48"/>
    </sheetView>
  </sheetViews>
  <sheetFormatPr defaultColWidth="9.1796875" defaultRowHeight="14.5" x14ac:dyDescent="0.35"/>
  <cols>
    <col min="1" max="1" width="15.453125" style="107" customWidth="1"/>
    <col min="2" max="2" width="17" style="107" bestFit="1" customWidth="1"/>
    <col min="3" max="3" width="11.26953125" style="107" customWidth="1"/>
    <col min="4" max="4" width="10.54296875" style="107" bestFit="1" customWidth="1"/>
    <col min="5" max="6" width="13.7265625" style="107" customWidth="1"/>
    <col min="7" max="7" width="11.7265625" style="107" customWidth="1"/>
    <col min="8" max="8" width="16.7265625" style="107" customWidth="1"/>
    <col min="9" max="9" width="11.453125" style="107" customWidth="1"/>
    <col min="10" max="10" width="9.7265625" style="107" customWidth="1"/>
    <col min="11" max="11" width="12.7265625" style="107" bestFit="1" customWidth="1"/>
    <col min="12" max="12" width="9.453125" style="107" customWidth="1"/>
    <col min="13" max="13" width="9.1796875" style="107" customWidth="1"/>
    <col min="14" max="14" width="9.7265625" style="107" customWidth="1"/>
    <col min="15" max="15" width="10.81640625" style="107" customWidth="1"/>
    <col min="16" max="17" width="9.26953125" style="107" customWidth="1"/>
    <col min="18" max="18" width="9.1796875" style="107" customWidth="1"/>
    <col min="19" max="19" width="13" style="107" customWidth="1"/>
    <col min="20" max="20" width="10.26953125" style="91" customWidth="1"/>
    <col min="21" max="16384" width="9.1796875" style="91"/>
  </cols>
  <sheetData>
    <row r="1" spans="1:22" x14ac:dyDescent="0.35">
      <c r="A1" s="243" t="s">
        <v>0</v>
      </c>
      <c r="B1" s="246" t="s">
        <v>123</v>
      </c>
      <c r="C1" s="247" t="s">
        <v>20</v>
      </c>
      <c r="D1" s="242" t="s">
        <v>129</v>
      </c>
      <c r="E1" s="242" t="s">
        <v>22</v>
      </c>
      <c r="F1" s="242" t="s">
        <v>23</v>
      </c>
      <c r="G1" s="248" t="s">
        <v>26</v>
      </c>
      <c r="H1" s="242" t="s">
        <v>43</v>
      </c>
      <c r="I1" s="242" t="s">
        <v>130</v>
      </c>
      <c r="J1" s="249" t="s">
        <v>31</v>
      </c>
      <c r="K1" s="242" t="s">
        <v>42</v>
      </c>
      <c r="L1" s="242" t="s">
        <v>24</v>
      </c>
      <c r="M1" s="242" t="s">
        <v>25</v>
      </c>
      <c r="N1" s="248" t="s">
        <v>27</v>
      </c>
      <c r="O1" s="242" t="s">
        <v>28</v>
      </c>
      <c r="P1" s="242" t="s">
        <v>131</v>
      </c>
      <c r="Q1" s="249" t="s">
        <v>30</v>
      </c>
      <c r="R1" s="242" t="s">
        <v>11</v>
      </c>
      <c r="S1" s="242" t="s">
        <v>29</v>
      </c>
    </row>
    <row r="2" spans="1:22" x14ac:dyDescent="0.35">
      <c r="A2" s="244"/>
      <c r="B2" s="246"/>
      <c r="C2" s="247"/>
      <c r="D2" s="242"/>
      <c r="E2" s="242"/>
      <c r="F2" s="242"/>
      <c r="G2" s="248"/>
      <c r="H2" s="242"/>
      <c r="I2" s="242"/>
      <c r="J2" s="250"/>
      <c r="K2" s="242"/>
      <c r="L2" s="242"/>
      <c r="M2" s="242"/>
      <c r="N2" s="248"/>
      <c r="O2" s="242"/>
      <c r="P2" s="242"/>
      <c r="Q2" s="250"/>
      <c r="R2" s="242"/>
      <c r="S2" s="242"/>
    </row>
    <row r="3" spans="1:22" x14ac:dyDescent="0.35">
      <c r="A3" s="244"/>
      <c r="B3" s="246"/>
      <c r="C3" s="247"/>
      <c r="D3" s="242"/>
      <c r="E3" s="242"/>
      <c r="F3" s="242"/>
      <c r="G3" s="248"/>
      <c r="H3" s="242"/>
      <c r="I3" s="242"/>
      <c r="J3" s="250"/>
      <c r="K3" s="242"/>
      <c r="L3" s="242"/>
      <c r="M3" s="242"/>
      <c r="N3" s="248"/>
      <c r="O3" s="242"/>
      <c r="P3" s="242"/>
      <c r="Q3" s="250"/>
      <c r="R3" s="242"/>
      <c r="S3" s="242"/>
    </row>
    <row r="4" spans="1:22" x14ac:dyDescent="0.35">
      <c r="A4" s="244"/>
      <c r="B4" s="246"/>
      <c r="C4" s="247"/>
      <c r="D4" s="242"/>
      <c r="E4" s="242"/>
      <c r="F4" s="242"/>
      <c r="G4" s="248"/>
      <c r="H4" s="242"/>
      <c r="I4" s="242"/>
      <c r="J4" s="250"/>
      <c r="K4" s="242"/>
      <c r="L4" s="242"/>
      <c r="M4" s="242"/>
      <c r="N4" s="248"/>
      <c r="O4" s="242"/>
      <c r="P4" s="242"/>
      <c r="Q4" s="250"/>
      <c r="R4" s="242"/>
      <c r="S4" s="242"/>
    </row>
    <row r="5" spans="1:22" x14ac:dyDescent="0.35">
      <c r="A5" s="245"/>
      <c r="B5" s="246"/>
      <c r="C5" s="247"/>
      <c r="D5" s="242"/>
      <c r="E5" s="242"/>
      <c r="F5" s="242"/>
      <c r="G5" s="248"/>
      <c r="H5" s="242"/>
      <c r="I5" s="242"/>
      <c r="J5" s="251"/>
      <c r="K5" s="242"/>
      <c r="L5" s="242"/>
      <c r="M5" s="242"/>
      <c r="N5" s="248"/>
      <c r="O5" s="242"/>
      <c r="P5" s="242"/>
      <c r="Q5" s="251"/>
      <c r="R5" s="242"/>
      <c r="S5" s="242"/>
    </row>
    <row r="6" spans="1:22" s="97" customFormat="1" x14ac:dyDescent="0.35">
      <c r="A6" s="177"/>
      <c r="B6" s="178"/>
      <c r="C6" s="179"/>
      <c r="D6" s="180"/>
      <c r="E6" s="180"/>
      <c r="F6" s="180"/>
      <c r="G6" s="181"/>
      <c r="H6" s="180"/>
      <c r="I6" s="180"/>
      <c r="J6" s="180"/>
      <c r="K6" s="180"/>
      <c r="L6" s="180"/>
      <c r="M6" s="180"/>
      <c r="N6" s="181"/>
      <c r="O6" s="180"/>
      <c r="P6" s="180"/>
      <c r="Q6" s="180"/>
      <c r="R6" s="180"/>
      <c r="S6" s="180"/>
    </row>
    <row r="7" spans="1:22" x14ac:dyDescent="0.35">
      <c r="A7" s="184" t="s">
        <v>12</v>
      </c>
      <c r="B7" s="182">
        <f>'Fee Calc 2017'!S7</f>
        <v>410.33405185548531</v>
      </c>
      <c r="C7" s="185">
        <v>115</v>
      </c>
      <c r="D7" s="183">
        <f>C7*E41</f>
        <v>230</v>
      </c>
      <c r="E7" s="183">
        <f>J43+((C7-C43)*G44)</f>
        <v>227</v>
      </c>
      <c r="F7" s="183">
        <f>D7+E7</f>
        <v>457</v>
      </c>
      <c r="G7" s="181">
        <f t="shared" ref="G7:G19" si="0">F7</f>
        <v>457</v>
      </c>
      <c r="H7" s="183">
        <v>583466</v>
      </c>
      <c r="I7" s="183">
        <v>115.896</v>
      </c>
      <c r="J7" s="183" t="s">
        <v>37</v>
      </c>
      <c r="K7" s="183">
        <f>+H7/I7</f>
        <v>5034.3929039828809</v>
      </c>
      <c r="L7" s="183">
        <f t="shared" ref="L7:L19" si="1">K7*0.00335</f>
        <v>16.86521622834265</v>
      </c>
      <c r="M7" s="183" t="str">
        <f t="shared" ref="M7:M19" si="2">IF(L7&gt;G7,"Y","N")</f>
        <v>N</v>
      </c>
      <c r="N7" s="181">
        <f>IF(L7&gt;G7,G7,L7)</f>
        <v>16.86521622834265</v>
      </c>
      <c r="O7" s="183">
        <f>+G7+N7</f>
        <v>473.86521622834266</v>
      </c>
      <c r="P7" s="183">
        <f>+O7-B7</f>
        <v>63.531164372857347</v>
      </c>
      <c r="Q7" s="183">
        <f>P7/B7*100</f>
        <v>15.482791176012917</v>
      </c>
      <c r="R7" s="183" t="str">
        <f>IF(O7&gt;1.5*B7,"Y","N")</f>
        <v>N</v>
      </c>
      <c r="S7" s="194">
        <f>O7</f>
        <v>473.86521622834266</v>
      </c>
      <c r="U7" s="117" t="s">
        <v>132</v>
      </c>
    </row>
    <row r="8" spans="1:22" x14ac:dyDescent="0.35">
      <c r="A8" s="193" t="s">
        <v>109</v>
      </c>
      <c r="B8" s="182">
        <f>'Fee Calc 2017'!S8</f>
        <v>125.31751295336787</v>
      </c>
      <c r="C8" s="185">
        <v>27</v>
      </c>
      <c r="D8" s="183">
        <f>C8*E41</f>
        <v>54</v>
      </c>
      <c r="E8" s="183">
        <f>C8*E41</f>
        <v>54</v>
      </c>
      <c r="F8" s="183">
        <f>D8+E8</f>
        <v>108</v>
      </c>
      <c r="G8" s="181">
        <f t="shared" si="0"/>
        <v>108</v>
      </c>
      <c r="H8" s="181"/>
      <c r="I8" s="183">
        <v>23.16</v>
      </c>
      <c r="J8" s="183" t="s">
        <v>122</v>
      </c>
      <c r="K8" s="183">
        <f>+H8/I8</f>
        <v>0</v>
      </c>
      <c r="L8" s="183">
        <f t="shared" si="1"/>
        <v>0</v>
      </c>
      <c r="M8" s="183" t="str">
        <f t="shared" si="2"/>
        <v>N</v>
      </c>
      <c r="N8" s="181">
        <f t="shared" ref="N8:N35" si="3">IF(L8&gt;G8,G8,L8)</f>
        <v>0</v>
      </c>
      <c r="O8" s="183">
        <f>+G8+N8</f>
        <v>108</v>
      </c>
      <c r="P8" s="183">
        <f>+O8-B8</f>
        <v>-17.317512953367867</v>
      </c>
      <c r="Q8" s="183">
        <f>P8/B8*100</f>
        <v>-13.818908902071747</v>
      </c>
      <c r="R8" s="183" t="s">
        <v>119</v>
      </c>
      <c r="S8" s="183">
        <f>1.05*B8</f>
        <v>131.58338860103626</v>
      </c>
      <c r="T8" s="117"/>
      <c r="U8" s="91" t="s">
        <v>136</v>
      </c>
    </row>
    <row r="9" spans="1:22" x14ac:dyDescent="0.35">
      <c r="A9" s="184" t="s">
        <v>14</v>
      </c>
      <c r="B9" s="182">
        <f>'Fee Calc 2017'!S9</f>
        <v>1855.5798162193437</v>
      </c>
      <c r="C9" s="185">
        <v>433</v>
      </c>
      <c r="D9" s="183">
        <f>C9*E41</f>
        <v>866</v>
      </c>
      <c r="E9" s="183">
        <f>J44+((C9-C44)*G45)</f>
        <v>762.8</v>
      </c>
      <c r="F9" s="183">
        <f>D9+E9</f>
        <v>1628.8</v>
      </c>
      <c r="G9" s="181">
        <f t="shared" si="0"/>
        <v>1628.8</v>
      </c>
      <c r="H9" s="183">
        <v>425125.95</v>
      </c>
      <c r="I9" s="183">
        <v>6.3008300000000004</v>
      </c>
      <c r="J9" s="183" t="s">
        <v>38</v>
      </c>
      <c r="K9" s="183">
        <f t="shared" ref="K9:K19" si="4">+H9/I9</f>
        <v>67471.420431911349</v>
      </c>
      <c r="L9" s="183">
        <f t="shared" si="1"/>
        <v>226.02925844690301</v>
      </c>
      <c r="M9" s="183" t="str">
        <f t="shared" si="2"/>
        <v>N</v>
      </c>
      <c r="N9" s="181">
        <f t="shared" si="3"/>
        <v>226.02925844690301</v>
      </c>
      <c r="O9" s="183">
        <f t="shared" ref="O9:O19" si="5">+G9+N9</f>
        <v>1854.8292584469029</v>
      </c>
      <c r="P9" s="183">
        <f>+O9-B9</f>
        <v>-0.75055777244074307</v>
      </c>
      <c r="Q9" s="183">
        <f>P9/B9*100</f>
        <v>-4.0448692418414478E-2</v>
      </c>
      <c r="R9" s="183" t="str">
        <f t="shared" ref="R9:R19" si="6">IF(O9&gt;1.5*B9,"Y","N")</f>
        <v>N</v>
      </c>
      <c r="S9" s="194">
        <f>O9</f>
        <v>1854.8292584469029</v>
      </c>
      <c r="U9" s="117" t="s">
        <v>132</v>
      </c>
    </row>
    <row r="10" spans="1:22" x14ac:dyDescent="0.35">
      <c r="A10" s="193" t="s">
        <v>110</v>
      </c>
      <c r="B10" s="182">
        <f>'Fee Calc 2017'!S10</f>
        <v>194.88</v>
      </c>
      <c r="C10" s="195"/>
      <c r="D10" s="183"/>
      <c r="E10" s="183"/>
      <c r="F10" s="183"/>
      <c r="G10" s="181"/>
      <c r="H10" s="181"/>
      <c r="I10" s="183"/>
      <c r="J10" s="183"/>
      <c r="K10" s="183"/>
      <c r="L10" s="183"/>
      <c r="M10" s="183"/>
      <c r="N10" s="181">
        <f t="shared" si="3"/>
        <v>0</v>
      </c>
      <c r="O10" s="183"/>
      <c r="P10" s="183"/>
      <c r="Q10" s="183"/>
      <c r="R10" s="183"/>
      <c r="S10" s="183">
        <f>1.05*B10</f>
        <v>204.624</v>
      </c>
      <c r="T10" s="117"/>
      <c r="U10" s="91" t="s">
        <v>136</v>
      </c>
      <c r="V10" s="117"/>
    </row>
    <row r="11" spans="1:22" x14ac:dyDescent="0.35">
      <c r="A11" s="184" t="s">
        <v>15</v>
      </c>
      <c r="B11" s="182">
        <f>'Fee Calc 2017'!S11</f>
        <v>79.5</v>
      </c>
      <c r="C11" s="185">
        <v>45</v>
      </c>
      <c r="D11" s="183">
        <f>C11*E41</f>
        <v>90</v>
      </c>
      <c r="E11" s="183">
        <f>D11</f>
        <v>90</v>
      </c>
      <c r="F11" s="183">
        <f>D11+E11</f>
        <v>180</v>
      </c>
      <c r="G11" s="181">
        <f t="shared" si="0"/>
        <v>180</v>
      </c>
      <c r="H11" s="183">
        <v>1245676.08</v>
      </c>
      <c r="I11" s="183">
        <v>11.232100000000001</v>
      </c>
      <c r="J11" s="183" t="s">
        <v>39</v>
      </c>
      <c r="K11" s="183">
        <f t="shared" si="4"/>
        <v>110903.22201547351</v>
      </c>
      <c r="L11" s="183">
        <f>K11*0.00335</f>
        <v>371.52579375183626</v>
      </c>
      <c r="M11" s="183" t="str">
        <f>IF(L11&gt;G11,"Y","N")</f>
        <v>Y</v>
      </c>
      <c r="N11" s="181">
        <f>IF(L11&gt;G11,G11,L11)</f>
        <v>180</v>
      </c>
      <c r="O11" s="183">
        <f t="shared" si="5"/>
        <v>360</v>
      </c>
      <c r="P11" s="183">
        <f t="shared" ref="P11:P14" si="7">+O11-B11</f>
        <v>280.5</v>
      </c>
      <c r="Q11" s="183">
        <f t="shared" ref="Q11:Q19" si="8">P11/B11*100</f>
        <v>352.83018867924528</v>
      </c>
      <c r="R11" s="183" t="str">
        <f t="shared" si="6"/>
        <v>Y</v>
      </c>
      <c r="S11" s="194">
        <f>1.5*B11</f>
        <v>119.25</v>
      </c>
      <c r="T11" s="117"/>
      <c r="U11" s="117" t="s">
        <v>132</v>
      </c>
      <c r="V11" s="117"/>
    </row>
    <row r="12" spans="1:22" x14ac:dyDescent="0.35">
      <c r="A12" s="184" t="s">
        <v>111</v>
      </c>
      <c r="B12" s="182">
        <f>'Fee Calc 2017'!S12</f>
        <v>540.96</v>
      </c>
      <c r="C12" s="185">
        <v>46</v>
      </c>
      <c r="D12" s="183">
        <f>C12*E41</f>
        <v>92</v>
      </c>
      <c r="E12" s="183">
        <f>D12</f>
        <v>92</v>
      </c>
      <c r="F12" s="183">
        <f>D12+E12</f>
        <v>184</v>
      </c>
      <c r="G12" s="181">
        <f t="shared" si="0"/>
        <v>184</v>
      </c>
      <c r="H12" s="183">
        <v>40909275</v>
      </c>
      <c r="I12" s="183">
        <v>999.80799999999999</v>
      </c>
      <c r="J12" s="183" t="s">
        <v>133</v>
      </c>
      <c r="K12" s="183">
        <f t="shared" si="4"/>
        <v>40917.131089169117</v>
      </c>
      <c r="L12" s="183">
        <f>K12*0.00335</f>
        <v>137.07238914871655</v>
      </c>
      <c r="M12" s="183" t="str">
        <f>IF(L12&gt;G12,"Y","N")</f>
        <v>N</v>
      </c>
      <c r="N12" s="181">
        <f t="shared" si="3"/>
        <v>137.07238914871655</v>
      </c>
      <c r="O12" s="183">
        <f t="shared" si="5"/>
        <v>321.07238914871652</v>
      </c>
      <c r="P12" s="183">
        <f t="shared" si="7"/>
        <v>-219.88761085128351</v>
      </c>
      <c r="Q12" s="183">
        <f t="shared" si="8"/>
        <v>-40.647665419122205</v>
      </c>
      <c r="R12" s="183" t="str">
        <f t="shared" si="6"/>
        <v>N</v>
      </c>
      <c r="S12" s="194">
        <f>O12</f>
        <v>321.07238914871652</v>
      </c>
      <c r="T12" s="117"/>
      <c r="U12" s="117" t="s">
        <v>135</v>
      </c>
      <c r="V12" s="117"/>
    </row>
    <row r="13" spans="1:22" x14ac:dyDescent="0.35">
      <c r="A13" s="193" t="s">
        <v>112</v>
      </c>
      <c r="B13" s="182">
        <f>'Fee Calc 2017'!S13</f>
        <v>249.64694615384613</v>
      </c>
      <c r="C13" s="195"/>
      <c r="D13" s="183">
        <f>C13*E41</f>
        <v>0</v>
      </c>
      <c r="E13" s="183">
        <f>D13</f>
        <v>0</v>
      </c>
      <c r="F13" s="183">
        <f t="shared" ref="F13:F19" si="9">D13+E13</f>
        <v>0</v>
      </c>
      <c r="G13" s="181">
        <f t="shared" si="0"/>
        <v>0</v>
      </c>
      <c r="H13" s="181"/>
      <c r="I13" s="183">
        <v>1.17</v>
      </c>
      <c r="J13" s="183" t="s">
        <v>34</v>
      </c>
      <c r="K13" s="183">
        <f t="shared" si="4"/>
        <v>0</v>
      </c>
      <c r="L13" s="183">
        <f>K13*0.00335</f>
        <v>0</v>
      </c>
      <c r="M13" s="183" t="str">
        <f t="shared" ref="M13" si="10">IF(L13&gt;G13,"Y","N")</f>
        <v>N</v>
      </c>
      <c r="N13" s="181">
        <f>IF(L13&gt;G13,G13,L13)</f>
        <v>0</v>
      </c>
      <c r="O13" s="183">
        <f t="shared" si="5"/>
        <v>0</v>
      </c>
      <c r="P13" s="183">
        <f t="shared" si="7"/>
        <v>-249.64694615384613</v>
      </c>
      <c r="Q13" s="183">
        <f t="shared" si="8"/>
        <v>-100</v>
      </c>
      <c r="R13" s="183" t="s">
        <v>119</v>
      </c>
      <c r="S13" s="183">
        <f>1.05*B13</f>
        <v>262.12929346153845</v>
      </c>
      <c r="T13" s="117"/>
      <c r="U13" s="91" t="s">
        <v>136</v>
      </c>
      <c r="V13" s="117"/>
    </row>
    <row r="14" spans="1:22" x14ac:dyDescent="0.35">
      <c r="A14" s="184" t="s">
        <v>16</v>
      </c>
      <c r="B14" s="182">
        <f>'Fee Calc 2017'!S14</f>
        <v>957.89980601198215</v>
      </c>
      <c r="C14" s="185">
        <v>225</v>
      </c>
      <c r="D14" s="183">
        <f>C14*E41</f>
        <v>450</v>
      </c>
      <c r="E14" s="183">
        <f>J43+((C14-C43)*G44)</f>
        <v>425</v>
      </c>
      <c r="F14" s="183">
        <f t="shared" si="9"/>
        <v>875</v>
      </c>
      <c r="G14" s="181">
        <f t="shared" si="0"/>
        <v>875</v>
      </c>
      <c r="H14" s="183">
        <v>2973647.65</v>
      </c>
      <c r="I14" s="183">
        <v>45.909799999999997</v>
      </c>
      <c r="J14" s="183" t="s">
        <v>40</v>
      </c>
      <c r="K14" s="183">
        <f t="shared" si="4"/>
        <v>64771.522637868169</v>
      </c>
      <c r="L14" s="183">
        <f t="shared" si="1"/>
        <v>216.98460083685836</v>
      </c>
      <c r="M14" s="183" t="str">
        <f t="shared" si="2"/>
        <v>N</v>
      </c>
      <c r="N14" s="181">
        <f t="shared" si="3"/>
        <v>216.98460083685836</v>
      </c>
      <c r="O14" s="183">
        <f t="shared" si="5"/>
        <v>1091.9846008368584</v>
      </c>
      <c r="P14" s="183">
        <f t="shared" si="7"/>
        <v>134.08479482487621</v>
      </c>
      <c r="Q14" s="183">
        <f t="shared" si="8"/>
        <v>13.997789119836085</v>
      </c>
      <c r="R14" s="183" t="str">
        <f t="shared" si="6"/>
        <v>N</v>
      </c>
      <c r="S14" s="194">
        <f>O14</f>
        <v>1091.9846008368584</v>
      </c>
      <c r="T14" s="117"/>
      <c r="U14" s="117" t="s">
        <v>132</v>
      </c>
      <c r="V14" s="117"/>
    </row>
    <row r="15" spans="1:22" x14ac:dyDescent="0.35">
      <c r="A15" s="193" t="s">
        <v>113</v>
      </c>
      <c r="B15" s="182">
        <f>'Fee Calc 2017'!S15</f>
        <v>196</v>
      </c>
      <c r="C15" s="185">
        <v>359</v>
      </c>
      <c r="D15" s="183"/>
      <c r="E15" s="183"/>
      <c r="F15" s="183"/>
      <c r="G15" s="181"/>
      <c r="H15" s="181"/>
      <c r="I15" s="183"/>
      <c r="J15" s="183"/>
      <c r="K15" s="183"/>
      <c r="L15" s="183"/>
      <c r="M15" s="183"/>
      <c r="N15" s="181">
        <f t="shared" si="3"/>
        <v>0</v>
      </c>
      <c r="O15" s="183"/>
      <c r="P15" s="183"/>
      <c r="Q15" s="183"/>
      <c r="R15" s="183"/>
      <c r="S15" s="183">
        <f>1.05*B15</f>
        <v>205.8</v>
      </c>
      <c r="T15" s="117"/>
      <c r="U15" s="91" t="s">
        <v>136</v>
      </c>
      <c r="V15" s="117"/>
    </row>
    <row r="16" spans="1:22" x14ac:dyDescent="0.35">
      <c r="A16" s="184" t="s">
        <v>17</v>
      </c>
      <c r="B16" s="182">
        <f>'Fee Calc 2017'!S16</f>
        <v>1119.8467499999999</v>
      </c>
      <c r="C16" s="185">
        <v>31</v>
      </c>
      <c r="D16" s="183">
        <f>C16*E41</f>
        <v>62</v>
      </c>
      <c r="E16" s="183">
        <f>D16</f>
        <v>62</v>
      </c>
      <c r="F16" s="183">
        <f t="shared" si="9"/>
        <v>124</v>
      </c>
      <c r="G16" s="181">
        <f t="shared" si="0"/>
        <v>124</v>
      </c>
      <c r="H16" s="183">
        <v>6970</v>
      </c>
      <c r="I16" s="183">
        <v>1</v>
      </c>
      <c r="J16" s="183" t="s">
        <v>36</v>
      </c>
      <c r="K16" s="183">
        <f t="shared" si="4"/>
        <v>6970</v>
      </c>
      <c r="L16" s="183">
        <f t="shared" si="1"/>
        <v>23.349499999999999</v>
      </c>
      <c r="M16" s="183" t="str">
        <f t="shared" si="2"/>
        <v>N</v>
      </c>
      <c r="N16" s="181">
        <f t="shared" si="3"/>
        <v>23.349499999999999</v>
      </c>
      <c r="O16" s="183">
        <f t="shared" si="5"/>
        <v>147.34950000000001</v>
      </c>
      <c r="P16" s="183">
        <f>+O16-B16</f>
        <v>-972.49724999999989</v>
      </c>
      <c r="Q16" s="183">
        <f t="shared" si="8"/>
        <v>-86.841994228228103</v>
      </c>
      <c r="R16" s="183" t="str">
        <f t="shared" si="6"/>
        <v>N</v>
      </c>
      <c r="S16" s="194">
        <f>O16</f>
        <v>147.34950000000001</v>
      </c>
      <c r="T16" s="117"/>
      <c r="U16" s="117" t="s">
        <v>134</v>
      </c>
      <c r="V16" s="117"/>
    </row>
    <row r="17" spans="1:22" x14ac:dyDescent="0.35">
      <c r="A17" s="193" t="s">
        <v>18</v>
      </c>
      <c r="B17" s="182">
        <f>'Fee Calc 2017'!S17</f>
        <v>1092</v>
      </c>
      <c r="C17" s="185">
        <v>661</v>
      </c>
      <c r="D17" s="183">
        <f>C17*E41</f>
        <v>1322</v>
      </c>
      <c r="E17" s="183">
        <f>J45+((C17-C45)*G46)</f>
        <v>1095.4000000000001</v>
      </c>
      <c r="F17" s="183">
        <f t="shared" si="9"/>
        <v>2417.4</v>
      </c>
      <c r="G17" s="181">
        <f t="shared" si="0"/>
        <v>2417.4</v>
      </c>
      <c r="H17" s="181">
        <v>13680500</v>
      </c>
      <c r="I17" s="183">
        <v>3165.86</v>
      </c>
      <c r="J17" s="183" t="s">
        <v>41</v>
      </c>
      <c r="K17" s="183">
        <f t="shared" si="4"/>
        <v>4321.2586785265294</v>
      </c>
      <c r="L17" s="183">
        <f t="shared" si="1"/>
        <v>14.476216573063875</v>
      </c>
      <c r="M17" s="183" t="str">
        <f t="shared" si="2"/>
        <v>N</v>
      </c>
      <c r="N17" s="181">
        <f t="shared" si="3"/>
        <v>14.476216573063875</v>
      </c>
      <c r="O17" s="183">
        <f t="shared" si="5"/>
        <v>2431.8762165730641</v>
      </c>
      <c r="P17" s="183">
        <f>+O17-B17</f>
        <v>1339.8762165730641</v>
      </c>
      <c r="Q17" s="183">
        <f t="shared" si="8"/>
        <v>122.69928723196557</v>
      </c>
      <c r="R17" s="183" t="str">
        <f t="shared" si="6"/>
        <v>Y</v>
      </c>
      <c r="S17" s="194">
        <f>1.5*B17</f>
        <v>1638</v>
      </c>
      <c r="T17" s="148" t="s">
        <v>125</v>
      </c>
      <c r="U17" s="117"/>
      <c r="V17" s="117"/>
    </row>
    <row r="18" spans="1:22" x14ac:dyDescent="0.35">
      <c r="A18" s="184" t="s">
        <v>114</v>
      </c>
      <c r="B18" s="182">
        <f>'Fee Calc 2017'!S18</f>
        <v>1237.5</v>
      </c>
      <c r="C18" s="185">
        <v>518</v>
      </c>
      <c r="D18" s="183">
        <f>C18*E41</f>
        <v>1036</v>
      </c>
      <c r="E18" s="183">
        <f>J45+(C18-C45)*G46</f>
        <v>895.2</v>
      </c>
      <c r="F18" s="183">
        <f t="shared" si="9"/>
        <v>1931.2</v>
      </c>
      <c r="G18" s="181">
        <f t="shared" si="0"/>
        <v>1931.2</v>
      </c>
      <c r="H18" s="183">
        <v>1555914</v>
      </c>
      <c r="I18" s="183">
        <v>13.74</v>
      </c>
      <c r="J18" s="183" t="s">
        <v>120</v>
      </c>
      <c r="K18" s="183">
        <f t="shared" si="4"/>
        <v>113239.73799126637</v>
      </c>
      <c r="L18" s="183">
        <f t="shared" si="1"/>
        <v>379.35312227074235</v>
      </c>
      <c r="M18" s="183" t="s">
        <v>119</v>
      </c>
      <c r="N18" s="181">
        <f t="shared" si="3"/>
        <v>379.35312227074235</v>
      </c>
      <c r="O18" s="183">
        <f t="shared" si="5"/>
        <v>2310.5531222707423</v>
      </c>
      <c r="P18" s="183">
        <f>+O18-B18</f>
        <v>1073.0531222707423</v>
      </c>
      <c r="Q18" s="183">
        <f t="shared" si="8"/>
        <v>86.711363415817559</v>
      </c>
      <c r="R18" s="183" t="s">
        <v>121</v>
      </c>
      <c r="S18" s="194">
        <f>1.5*B18</f>
        <v>1856.25</v>
      </c>
      <c r="T18" s="117"/>
      <c r="U18" s="117" t="s">
        <v>132</v>
      </c>
      <c r="V18" s="117"/>
    </row>
    <row r="19" spans="1:22" x14ac:dyDescent="0.35">
      <c r="A19" s="184" t="s">
        <v>19</v>
      </c>
      <c r="B19" s="182">
        <f>'Fee Calc 2017'!S19</f>
        <v>817.5</v>
      </c>
      <c r="C19" s="185">
        <v>298</v>
      </c>
      <c r="D19" s="183">
        <f>C19*E41</f>
        <v>596</v>
      </c>
      <c r="E19" s="183">
        <f>J44+((C19-C44)*G45)</f>
        <v>546.79999999999995</v>
      </c>
      <c r="F19" s="183">
        <f t="shared" si="9"/>
        <v>1142.8</v>
      </c>
      <c r="G19" s="181">
        <f t="shared" si="0"/>
        <v>1142.8</v>
      </c>
      <c r="H19" s="183">
        <v>99184</v>
      </c>
      <c r="I19" s="183">
        <v>1.39714</v>
      </c>
      <c r="J19" s="183" t="s">
        <v>44</v>
      </c>
      <c r="K19" s="183">
        <f t="shared" si="4"/>
        <v>70990.738222368556</v>
      </c>
      <c r="L19" s="183">
        <f t="shared" si="1"/>
        <v>237.81897304493467</v>
      </c>
      <c r="M19" s="183" t="str">
        <f t="shared" si="2"/>
        <v>N</v>
      </c>
      <c r="N19" s="181">
        <f t="shared" si="3"/>
        <v>237.81897304493467</v>
      </c>
      <c r="O19" s="183">
        <f t="shared" si="5"/>
        <v>1380.6189730449346</v>
      </c>
      <c r="P19" s="183">
        <f>+O19-B19</f>
        <v>563.11897304493459</v>
      </c>
      <c r="Q19" s="183">
        <f t="shared" si="8"/>
        <v>68.883054806719827</v>
      </c>
      <c r="R19" s="183" t="str">
        <f t="shared" si="6"/>
        <v>Y</v>
      </c>
      <c r="S19" s="194">
        <f>1.5*B19</f>
        <v>1226.25</v>
      </c>
      <c r="T19" s="117"/>
      <c r="U19" s="117" t="s">
        <v>132</v>
      </c>
      <c r="V19" s="117"/>
    </row>
    <row r="20" spans="1:22" s="97" customFormat="1" x14ac:dyDescent="0.35">
      <c r="A20" s="177"/>
      <c r="B20" s="178"/>
      <c r="C20" s="186"/>
      <c r="D20" s="180"/>
      <c r="E20" s="180"/>
      <c r="F20" s="180"/>
      <c r="G20" s="181"/>
      <c r="H20" s="180"/>
      <c r="I20" s="180"/>
      <c r="J20" s="180"/>
      <c r="K20" s="180"/>
      <c r="L20" s="180"/>
      <c r="M20" s="180"/>
      <c r="N20" s="181">
        <f t="shared" si="3"/>
        <v>0</v>
      </c>
      <c r="O20" s="180"/>
      <c r="P20" s="180"/>
      <c r="Q20" s="180"/>
      <c r="R20" s="180"/>
      <c r="S20" s="180"/>
      <c r="T20" s="117"/>
      <c r="U20" s="117"/>
      <c r="V20" s="117"/>
    </row>
    <row r="21" spans="1:22" s="106" customFormat="1" x14ac:dyDescent="0.35">
      <c r="A21" s="187" t="s">
        <v>108</v>
      </c>
      <c r="B21" s="188">
        <f>SUBTOTAL(9, B7:B19)</f>
        <v>8876.9648831940249</v>
      </c>
      <c r="C21" s="189">
        <f>SUBTOTAL(9, C7:C19)</f>
        <v>2758</v>
      </c>
      <c r="D21" s="190"/>
      <c r="E21" s="190"/>
      <c r="F21" s="190"/>
      <c r="G21" s="191"/>
      <c r="H21" s="190"/>
      <c r="I21" s="190"/>
      <c r="J21" s="190"/>
      <c r="K21" s="190"/>
      <c r="L21" s="190"/>
      <c r="M21" s="190"/>
      <c r="N21" s="181">
        <f t="shared" si="3"/>
        <v>0</v>
      </c>
      <c r="O21" s="190"/>
      <c r="P21" s="190"/>
      <c r="Q21" s="190"/>
      <c r="R21" s="190"/>
      <c r="S21" s="188">
        <f>SUBTOTAL(9, S7:S19)</f>
        <v>9532.9876467233953</v>
      </c>
      <c r="T21" s="117"/>
      <c r="U21" s="117"/>
      <c r="V21" s="117"/>
    </row>
    <row r="22" spans="1:22" s="97" customFormat="1" x14ac:dyDescent="0.35">
      <c r="A22" s="177"/>
      <c r="B22" s="178"/>
      <c r="C22" s="186"/>
      <c r="D22" s="180"/>
      <c r="E22" s="180"/>
      <c r="F22" s="180"/>
      <c r="G22" s="181"/>
      <c r="H22" s="180"/>
      <c r="I22" s="180"/>
      <c r="J22" s="180"/>
      <c r="K22" s="180"/>
      <c r="L22" s="180"/>
      <c r="M22" s="180"/>
      <c r="N22" s="181">
        <f t="shared" si="3"/>
        <v>0</v>
      </c>
      <c r="O22" s="180"/>
      <c r="P22" s="180"/>
      <c r="Q22" s="180"/>
      <c r="R22" s="180"/>
      <c r="S22" s="180"/>
      <c r="T22" s="117"/>
      <c r="U22" s="117"/>
      <c r="V22" s="117"/>
    </row>
    <row r="23" spans="1:22" s="97" customFormat="1" x14ac:dyDescent="0.35">
      <c r="A23" s="184" t="s">
        <v>98</v>
      </c>
      <c r="B23" s="182">
        <f>'Fee Calc 2017'!S23</f>
        <v>4212.1270248181609</v>
      </c>
      <c r="C23" s="185">
        <v>883</v>
      </c>
      <c r="D23" s="183">
        <f>C23*E41</f>
        <v>1766</v>
      </c>
      <c r="E23" s="183">
        <f>J45+((C23-C45)*G46)</f>
        <v>1406.1999999999998</v>
      </c>
      <c r="F23" s="183">
        <f>D23+E23</f>
        <v>3172.2</v>
      </c>
      <c r="G23" s="181">
        <f>F23</f>
        <v>3172.2</v>
      </c>
      <c r="H23" s="183">
        <v>205355</v>
      </c>
      <c r="I23" s="183">
        <v>1.766</v>
      </c>
      <c r="J23" s="183" t="s">
        <v>99</v>
      </c>
      <c r="K23" s="183">
        <f>+H23/I23</f>
        <v>116282.55945639864</v>
      </c>
      <c r="L23" s="183">
        <f>K23*0.00335</f>
        <v>389.54657417893543</v>
      </c>
      <c r="M23" s="183" t="str">
        <f t="shared" ref="M23:M25" si="11">IF(L23&gt;G23,"Y","N")</f>
        <v>N</v>
      </c>
      <c r="N23" s="181">
        <f t="shared" si="3"/>
        <v>389.54657417893543</v>
      </c>
      <c r="O23" s="183">
        <f>+G23+N23</f>
        <v>3561.7465741789351</v>
      </c>
      <c r="P23" s="183">
        <f>+O23-B23</f>
        <v>-650.38045063922573</v>
      </c>
      <c r="Q23" s="183">
        <f t="shared" ref="Q23" si="12">P23/B23*100</f>
        <v>-15.440665649614472</v>
      </c>
      <c r="R23" s="183" t="str">
        <f>IF(O23&gt;1.5*B23,"Y","N")</f>
        <v>N</v>
      </c>
      <c r="S23" s="194">
        <f>O23</f>
        <v>3561.7465741789351</v>
      </c>
      <c r="T23" s="117"/>
      <c r="U23" s="117" t="s">
        <v>132</v>
      </c>
      <c r="V23" s="117"/>
    </row>
    <row r="24" spans="1:22" s="97" customFormat="1" x14ac:dyDescent="0.35">
      <c r="A24" s="184" t="s">
        <v>13</v>
      </c>
      <c r="B24" s="182">
        <f>'Fee Calc 2017'!S24</f>
        <v>3600</v>
      </c>
      <c r="C24" s="185"/>
      <c r="D24" s="183"/>
      <c r="E24" s="183"/>
      <c r="F24" s="183"/>
      <c r="G24" s="181"/>
      <c r="H24" s="183"/>
      <c r="I24" s="183"/>
      <c r="J24" s="183"/>
      <c r="K24" s="183"/>
      <c r="L24" s="183"/>
      <c r="M24" s="183" t="str">
        <f t="shared" si="11"/>
        <v>N</v>
      </c>
      <c r="N24" s="181">
        <f t="shared" si="3"/>
        <v>0</v>
      </c>
      <c r="O24" s="183"/>
      <c r="P24" s="183"/>
      <c r="Q24" s="183"/>
      <c r="R24" s="183" t="str">
        <f t="shared" ref="R24:R35" si="13">IF(O24&gt;1.5*B24,"Y","N")</f>
        <v>N</v>
      </c>
      <c r="S24" s="194">
        <f>1.05*B24</f>
        <v>3780</v>
      </c>
      <c r="T24" s="117"/>
      <c r="U24" s="117" t="s">
        <v>132</v>
      </c>
      <c r="V24" s="117"/>
    </row>
    <row r="25" spans="1:22" s="97" customFormat="1" x14ac:dyDescent="0.35">
      <c r="A25" s="184" t="s">
        <v>100</v>
      </c>
      <c r="B25" s="182">
        <f>'Fee Calc 2017'!S25</f>
        <v>6275.1590139782838</v>
      </c>
      <c r="C25" s="185">
        <v>1767</v>
      </c>
      <c r="D25" s="183">
        <f>C25*E41</f>
        <v>3534</v>
      </c>
      <c r="E25" s="183">
        <f>J46+((C25-C46)*G47)</f>
        <v>2490.4</v>
      </c>
      <c r="F25" s="183">
        <f t="shared" ref="F25:F35" si="14">D25+E25</f>
        <v>6024.4</v>
      </c>
      <c r="G25" s="181">
        <f t="shared" ref="G25:G35" si="15">F25</f>
        <v>6024.4</v>
      </c>
      <c r="H25" s="183">
        <v>2585031</v>
      </c>
      <c r="I25" s="183">
        <v>10.9978</v>
      </c>
      <c r="J25" s="183" t="s">
        <v>32</v>
      </c>
      <c r="K25" s="183">
        <f t="shared" ref="K25:K35" si="16">+H25/I25</f>
        <v>235049.82814744767</v>
      </c>
      <c r="L25" s="183">
        <f t="shared" ref="L25:L35" si="17">K25*0.00335</f>
        <v>787.41692429394971</v>
      </c>
      <c r="M25" s="183" t="str">
        <f t="shared" si="11"/>
        <v>N</v>
      </c>
      <c r="N25" s="181">
        <f t="shared" si="3"/>
        <v>787.41692429394971</v>
      </c>
      <c r="O25" s="183">
        <f>+G25+N25</f>
        <v>6811.8169242939493</v>
      </c>
      <c r="P25" s="183">
        <f t="shared" ref="P25:P35" si="18">+O25-B25</f>
        <v>536.6579103156655</v>
      </c>
      <c r="Q25" s="183">
        <f t="shared" ref="Q25:Q35" si="19">P25/B25*100</f>
        <v>8.5521005781722597</v>
      </c>
      <c r="R25" s="183" t="str">
        <f t="shared" si="13"/>
        <v>N</v>
      </c>
      <c r="S25" s="194">
        <f t="shared" ref="S25:S28" si="20">O25</f>
        <v>6811.8169242939493</v>
      </c>
      <c r="T25" s="117"/>
      <c r="U25" s="117" t="s">
        <v>132</v>
      </c>
      <c r="V25" s="117"/>
    </row>
    <row r="26" spans="1:22" s="97" customFormat="1" x14ac:dyDescent="0.35">
      <c r="A26" s="184" t="s">
        <v>2</v>
      </c>
      <c r="B26" s="182">
        <f>'Fee Calc 2017'!S26</f>
        <v>5084.0200000000004</v>
      </c>
      <c r="C26" s="185">
        <v>464</v>
      </c>
      <c r="D26" s="183">
        <f>C26*E41</f>
        <v>928</v>
      </c>
      <c r="E26" s="183">
        <f>J44+((C26-C44)*G45)</f>
        <v>812.40000000000009</v>
      </c>
      <c r="F26" s="183">
        <f t="shared" si="14"/>
        <v>1740.4</v>
      </c>
      <c r="G26" s="181">
        <f t="shared" si="15"/>
        <v>1740.4</v>
      </c>
      <c r="H26" s="183">
        <v>805242</v>
      </c>
      <c r="I26" s="183">
        <v>1.1259999999999999</v>
      </c>
      <c r="J26" s="183" t="s">
        <v>34</v>
      </c>
      <c r="K26" s="183">
        <f t="shared" si="16"/>
        <v>715134.99111900537</v>
      </c>
      <c r="L26" s="183">
        <f t="shared" si="17"/>
        <v>2395.7022202486683</v>
      </c>
      <c r="M26" s="183" t="str">
        <f>IF(L26&gt;G26,"Y","N")</f>
        <v>Y</v>
      </c>
      <c r="N26" s="181">
        <f t="shared" si="3"/>
        <v>1740.4</v>
      </c>
      <c r="O26" s="183">
        <f t="shared" ref="O26:O35" si="21">+G26+N26</f>
        <v>3480.8</v>
      </c>
      <c r="P26" s="183">
        <f t="shared" si="18"/>
        <v>-1603.2200000000003</v>
      </c>
      <c r="Q26" s="183">
        <f t="shared" si="19"/>
        <v>-31.534494356827871</v>
      </c>
      <c r="R26" s="183" t="str">
        <f t="shared" si="13"/>
        <v>N</v>
      </c>
      <c r="S26" s="194">
        <f t="shared" si="20"/>
        <v>3480.8</v>
      </c>
      <c r="U26" s="117" t="s">
        <v>132</v>
      </c>
      <c r="V26" s="117"/>
    </row>
    <row r="27" spans="1:22" s="97" customFormat="1" x14ac:dyDescent="0.35">
      <c r="A27" s="184" t="s">
        <v>1</v>
      </c>
      <c r="B27" s="182">
        <f>'Fee Calc 2017'!S27</f>
        <v>3504.5512774345339</v>
      </c>
      <c r="C27" s="185">
        <v>664</v>
      </c>
      <c r="D27" s="183">
        <f>C27*E41</f>
        <v>1328</v>
      </c>
      <c r="E27" s="183">
        <f>J45+((C27-C45)*G46)</f>
        <v>1099.5999999999999</v>
      </c>
      <c r="F27" s="183">
        <f t="shared" si="14"/>
        <v>2427.6</v>
      </c>
      <c r="G27" s="181">
        <f t="shared" si="15"/>
        <v>2427.6</v>
      </c>
      <c r="H27" s="183">
        <v>1751800</v>
      </c>
      <c r="I27" s="183">
        <v>90.346100000000007</v>
      </c>
      <c r="J27" s="183" t="s">
        <v>33</v>
      </c>
      <c r="K27" s="183">
        <f t="shared" si="16"/>
        <v>19389.879585283703</v>
      </c>
      <c r="L27" s="183">
        <f t="shared" si="17"/>
        <v>64.956096610700413</v>
      </c>
      <c r="M27" s="183" t="str">
        <f t="shared" ref="M27:M34" si="22">IF(L27&gt;G27,"Y","N")</f>
        <v>N</v>
      </c>
      <c r="N27" s="181">
        <f t="shared" si="3"/>
        <v>64.956096610700413</v>
      </c>
      <c r="O27" s="183">
        <f t="shared" si="21"/>
        <v>2492.5560966107005</v>
      </c>
      <c r="P27" s="183">
        <f t="shared" si="18"/>
        <v>-1011.9951808238334</v>
      </c>
      <c r="Q27" s="183">
        <f t="shared" si="19"/>
        <v>-28.876597906841095</v>
      </c>
      <c r="R27" s="183" t="str">
        <f t="shared" si="13"/>
        <v>N</v>
      </c>
      <c r="S27" s="194">
        <f t="shared" si="20"/>
        <v>2492.5560966107005</v>
      </c>
      <c r="T27" s="117"/>
      <c r="U27" s="117" t="s">
        <v>132</v>
      </c>
      <c r="V27" s="117"/>
    </row>
    <row r="28" spans="1:22" s="97" customFormat="1" x14ac:dyDescent="0.35">
      <c r="A28" s="184" t="s">
        <v>3</v>
      </c>
      <c r="B28" s="182">
        <f>'Fee Calc 2017'!S28</f>
        <v>7580.2707474743102</v>
      </c>
      <c r="C28" s="185">
        <v>2431</v>
      </c>
      <c r="D28" s="183">
        <f>C28*E41</f>
        <v>4862</v>
      </c>
      <c r="E28" s="183">
        <f>J46+((C28-C46)*G47)</f>
        <v>3287.2</v>
      </c>
      <c r="F28" s="183">
        <f t="shared" si="14"/>
        <v>8149.2</v>
      </c>
      <c r="G28" s="181">
        <f t="shared" si="15"/>
        <v>8149.2</v>
      </c>
      <c r="H28" s="183">
        <v>885448</v>
      </c>
      <c r="I28" s="183">
        <v>5.46</v>
      </c>
      <c r="J28" s="183" t="s">
        <v>35</v>
      </c>
      <c r="K28" s="183">
        <f t="shared" si="16"/>
        <v>162169.96336996337</v>
      </c>
      <c r="L28" s="183">
        <f>K28*0.00335</f>
        <v>543.2693772893773</v>
      </c>
      <c r="M28" s="183" t="str">
        <f t="shared" si="22"/>
        <v>N</v>
      </c>
      <c r="N28" s="181">
        <f t="shared" si="3"/>
        <v>543.2693772893773</v>
      </c>
      <c r="O28" s="183">
        <f t="shared" si="21"/>
        <v>8692.469377289377</v>
      </c>
      <c r="P28" s="183">
        <f t="shared" si="18"/>
        <v>1112.1986298150669</v>
      </c>
      <c r="Q28" s="183">
        <f t="shared" si="19"/>
        <v>14.672281068399082</v>
      </c>
      <c r="R28" s="183" t="str">
        <f t="shared" si="13"/>
        <v>N</v>
      </c>
      <c r="S28" s="194">
        <f t="shared" si="20"/>
        <v>8692.469377289377</v>
      </c>
      <c r="U28" s="117" t="s">
        <v>132</v>
      </c>
    </row>
    <row r="29" spans="1:22" s="97" customFormat="1" x14ac:dyDescent="0.35">
      <c r="A29" s="184" t="s">
        <v>5</v>
      </c>
      <c r="B29" s="182">
        <f>'Fee Calc 2017'!S29</f>
        <v>5439</v>
      </c>
      <c r="C29" s="185">
        <v>2610</v>
      </c>
      <c r="D29" s="183">
        <f>C29*E41</f>
        <v>5220</v>
      </c>
      <c r="E29" s="183">
        <f>J47+((C29-C47)*G48)</f>
        <v>3480</v>
      </c>
      <c r="F29" s="183">
        <f t="shared" si="14"/>
        <v>8700</v>
      </c>
      <c r="G29" s="181">
        <f t="shared" si="15"/>
        <v>8700</v>
      </c>
      <c r="H29" s="183">
        <v>70849910</v>
      </c>
      <c r="I29" s="183">
        <v>506.10899999999998</v>
      </c>
      <c r="J29" s="183" t="s">
        <v>102</v>
      </c>
      <c r="K29" s="183">
        <f t="shared" si="16"/>
        <v>139989.42915458925</v>
      </c>
      <c r="L29" s="183">
        <f t="shared" si="17"/>
        <v>468.96458766787401</v>
      </c>
      <c r="M29" s="183" t="str">
        <f t="shared" si="22"/>
        <v>N</v>
      </c>
      <c r="N29" s="181">
        <f t="shared" si="3"/>
        <v>468.96458766787401</v>
      </c>
      <c r="O29" s="183">
        <f t="shared" si="21"/>
        <v>9168.9645876678733</v>
      </c>
      <c r="P29" s="183">
        <f t="shared" si="18"/>
        <v>3729.9645876678733</v>
      </c>
      <c r="Q29" s="183">
        <f t="shared" si="19"/>
        <v>68.578131782825395</v>
      </c>
      <c r="R29" s="183" t="str">
        <f t="shared" si="13"/>
        <v>Y</v>
      </c>
      <c r="S29" s="194">
        <f>1.5*B29</f>
        <v>8158.5</v>
      </c>
      <c r="U29" s="117" t="s">
        <v>132</v>
      </c>
    </row>
    <row r="30" spans="1:22" s="97" customFormat="1" x14ac:dyDescent="0.35">
      <c r="A30" s="184" t="s">
        <v>6</v>
      </c>
      <c r="B30" s="182">
        <f>'Fee Calc 2017'!S30</f>
        <v>1165.198120728581</v>
      </c>
      <c r="C30" s="185">
        <v>191</v>
      </c>
      <c r="D30" s="183">
        <f>C30*E41</f>
        <v>382</v>
      </c>
      <c r="E30" s="183">
        <f>J43+((C30-C43)*G44)</f>
        <v>363.8</v>
      </c>
      <c r="F30" s="183">
        <f>D30+E30</f>
        <v>745.8</v>
      </c>
      <c r="G30" s="181">
        <f t="shared" si="15"/>
        <v>745.8</v>
      </c>
      <c r="H30" s="183">
        <v>90213</v>
      </c>
      <c r="I30" s="183">
        <v>1.75488</v>
      </c>
      <c r="J30" s="183" t="s">
        <v>103</v>
      </c>
      <c r="K30" s="183">
        <f t="shared" si="16"/>
        <v>51406.933807439826</v>
      </c>
      <c r="L30" s="183">
        <f t="shared" si="17"/>
        <v>172.21322825492342</v>
      </c>
      <c r="M30" s="183" t="str">
        <f t="shared" si="22"/>
        <v>N</v>
      </c>
      <c r="N30" s="181">
        <f t="shared" si="3"/>
        <v>172.21322825492342</v>
      </c>
      <c r="O30" s="183">
        <f t="shared" si="21"/>
        <v>918.01322825492343</v>
      </c>
      <c r="P30" s="183">
        <f t="shared" si="18"/>
        <v>-247.18489247365756</v>
      </c>
      <c r="Q30" s="183">
        <f t="shared" si="19"/>
        <v>-21.213979672323582</v>
      </c>
      <c r="R30" s="183" t="str">
        <f t="shared" si="13"/>
        <v>N</v>
      </c>
      <c r="S30" s="194">
        <f>O30</f>
        <v>918.01322825492343</v>
      </c>
      <c r="U30" s="117" t="s">
        <v>132</v>
      </c>
    </row>
    <row r="31" spans="1:22" s="97" customFormat="1" x14ac:dyDescent="0.35">
      <c r="A31" s="184" t="s">
        <v>4</v>
      </c>
      <c r="B31" s="182">
        <f>'Fee Calc 2017'!S31</f>
        <v>2416.9383109404989</v>
      </c>
      <c r="C31" s="185">
        <v>641</v>
      </c>
      <c r="D31" s="183">
        <f>C31*E41</f>
        <v>1282</v>
      </c>
      <c r="E31" s="183">
        <f>J45+((C31-C45)*G46)</f>
        <v>1067.4000000000001</v>
      </c>
      <c r="F31" s="183">
        <f t="shared" si="14"/>
        <v>2349.4</v>
      </c>
      <c r="G31" s="181">
        <f t="shared" si="15"/>
        <v>2349.4</v>
      </c>
      <c r="H31" s="183">
        <v>178151</v>
      </c>
      <c r="I31" s="183">
        <v>1.90202</v>
      </c>
      <c r="J31" s="183" t="s">
        <v>104</v>
      </c>
      <c r="K31" s="183">
        <f t="shared" si="16"/>
        <v>93664.10447839665</v>
      </c>
      <c r="L31" s="183">
        <f t="shared" si="17"/>
        <v>313.77475000262876</v>
      </c>
      <c r="M31" s="183" t="str">
        <f t="shared" si="22"/>
        <v>N</v>
      </c>
      <c r="N31" s="181">
        <f t="shared" si="3"/>
        <v>313.77475000262876</v>
      </c>
      <c r="O31" s="183">
        <f t="shared" si="21"/>
        <v>2663.174750002629</v>
      </c>
      <c r="P31" s="183">
        <f t="shared" si="18"/>
        <v>246.2364390621301</v>
      </c>
      <c r="Q31" s="183">
        <f t="shared" si="19"/>
        <v>10.187948858583509</v>
      </c>
      <c r="R31" s="183" t="str">
        <f t="shared" si="13"/>
        <v>N</v>
      </c>
      <c r="S31" s="194">
        <f>O31</f>
        <v>2663.174750002629</v>
      </c>
      <c r="U31" s="117" t="s">
        <v>132</v>
      </c>
    </row>
    <row r="32" spans="1:22" s="97" customFormat="1" x14ac:dyDescent="0.35">
      <c r="A32" s="184" t="s">
        <v>7</v>
      </c>
      <c r="B32" s="182">
        <f>'Fee Calc 2017'!S32</f>
        <v>2463.2633670719292</v>
      </c>
      <c r="C32" s="185">
        <v>956</v>
      </c>
      <c r="D32" s="183">
        <f>C32*E41</f>
        <v>1912</v>
      </c>
      <c r="E32" s="183">
        <f>J45+((C32-C45)*G46)</f>
        <v>1508.4</v>
      </c>
      <c r="F32" s="183">
        <f t="shared" si="14"/>
        <v>3420.4</v>
      </c>
      <c r="G32" s="181">
        <f t="shared" si="15"/>
        <v>3420.4</v>
      </c>
      <c r="H32" s="183">
        <v>3421131</v>
      </c>
      <c r="I32" s="183">
        <v>154.49</v>
      </c>
      <c r="J32" s="183" t="s">
        <v>105</v>
      </c>
      <c r="K32" s="183">
        <f t="shared" si="16"/>
        <v>22144.676030811053</v>
      </c>
      <c r="L32" s="183">
        <f t="shared" si="17"/>
        <v>74.184664703217038</v>
      </c>
      <c r="M32" s="183" t="str">
        <f t="shared" si="22"/>
        <v>N</v>
      </c>
      <c r="N32" s="181">
        <f t="shared" si="3"/>
        <v>74.184664703217038</v>
      </c>
      <c r="O32" s="183">
        <f t="shared" si="21"/>
        <v>3494.5846647032172</v>
      </c>
      <c r="P32" s="183">
        <f t="shared" si="18"/>
        <v>1031.321297631288</v>
      </c>
      <c r="Q32" s="183">
        <f t="shared" si="19"/>
        <v>41.868088951333498</v>
      </c>
      <c r="R32" s="183" t="str">
        <f t="shared" si="13"/>
        <v>N</v>
      </c>
      <c r="S32" s="194">
        <f>O32</f>
        <v>3494.5846647032172</v>
      </c>
      <c r="T32" s="118"/>
      <c r="U32" s="117" t="s">
        <v>132</v>
      </c>
    </row>
    <row r="33" spans="1:21" s="97" customFormat="1" x14ac:dyDescent="0.35">
      <c r="A33" s="184" t="s">
        <v>8</v>
      </c>
      <c r="B33" s="182">
        <f>'Fee Calc 2017'!S33</f>
        <v>788.55544974585064</v>
      </c>
      <c r="C33" s="185">
        <v>172</v>
      </c>
      <c r="D33" s="183">
        <f>C33*E41</f>
        <v>344</v>
      </c>
      <c r="E33" s="183">
        <f>J43+((C33-C43)*G44)</f>
        <v>329.6</v>
      </c>
      <c r="F33" s="183">
        <f t="shared" si="14"/>
        <v>673.6</v>
      </c>
      <c r="G33" s="181">
        <f t="shared" si="15"/>
        <v>673.6</v>
      </c>
      <c r="H33" s="183">
        <v>69502</v>
      </c>
      <c r="I33" s="183">
        <v>1.8440000000000001</v>
      </c>
      <c r="J33" s="183" t="s">
        <v>106</v>
      </c>
      <c r="K33" s="183">
        <f t="shared" si="16"/>
        <v>37690.889370932753</v>
      </c>
      <c r="L33" s="183">
        <f t="shared" si="17"/>
        <v>126.26447939262472</v>
      </c>
      <c r="M33" s="183" t="str">
        <f t="shared" si="22"/>
        <v>N</v>
      </c>
      <c r="N33" s="181">
        <f t="shared" si="3"/>
        <v>126.26447939262472</v>
      </c>
      <c r="O33" s="183">
        <f t="shared" si="21"/>
        <v>799.86447939262473</v>
      </c>
      <c r="P33" s="183">
        <f t="shared" si="18"/>
        <v>11.309029646774093</v>
      </c>
      <c r="Q33" s="183">
        <f t="shared" si="19"/>
        <v>1.4341451384831547</v>
      </c>
      <c r="R33" s="183" t="str">
        <f t="shared" si="13"/>
        <v>N</v>
      </c>
      <c r="S33" s="194">
        <f>O33</f>
        <v>799.86447939262473</v>
      </c>
      <c r="U33" s="117" t="s">
        <v>132</v>
      </c>
    </row>
    <row r="34" spans="1:21" s="97" customFormat="1" x14ac:dyDescent="0.35">
      <c r="A34" s="184" t="s">
        <v>101</v>
      </c>
      <c r="B34" s="182">
        <f>'Fee Calc 2017'!S34</f>
        <v>3598.5</v>
      </c>
      <c r="C34" s="185">
        <v>1503</v>
      </c>
      <c r="D34" s="183">
        <f>C34*E41</f>
        <v>3006</v>
      </c>
      <c r="E34" s="183">
        <f>J46+((C34-C46)*G47)</f>
        <v>2173.6</v>
      </c>
      <c r="F34" s="183">
        <f t="shared" si="14"/>
        <v>5179.6000000000004</v>
      </c>
      <c r="G34" s="181">
        <f t="shared" si="15"/>
        <v>5179.6000000000004</v>
      </c>
      <c r="H34" s="183">
        <v>16110577</v>
      </c>
      <c r="I34" s="183">
        <v>217.77</v>
      </c>
      <c r="J34" s="183" t="s">
        <v>107</v>
      </c>
      <c r="K34" s="183">
        <f t="shared" si="16"/>
        <v>73979.781420765023</v>
      </c>
      <c r="L34" s="183">
        <f t="shared" si="17"/>
        <v>247.83226775956282</v>
      </c>
      <c r="M34" s="183" t="str">
        <f t="shared" si="22"/>
        <v>N</v>
      </c>
      <c r="N34" s="181">
        <f>IF(L34&gt;G34,G34,L34)</f>
        <v>247.83226775956282</v>
      </c>
      <c r="O34" s="183">
        <f t="shared" si="21"/>
        <v>5427.4322677595628</v>
      </c>
      <c r="P34" s="183">
        <f t="shared" si="18"/>
        <v>1828.9322677595628</v>
      </c>
      <c r="Q34" s="183">
        <f t="shared" si="19"/>
        <v>50.824851125734696</v>
      </c>
      <c r="R34" s="183" t="str">
        <f t="shared" si="13"/>
        <v>Y</v>
      </c>
      <c r="S34" s="194">
        <f>1.5*B34</f>
        <v>5397.75</v>
      </c>
      <c r="U34" s="117" t="s">
        <v>132</v>
      </c>
    </row>
    <row r="35" spans="1:21" s="97" customFormat="1" x14ac:dyDescent="0.35">
      <c r="A35" s="184" t="s">
        <v>9</v>
      </c>
      <c r="B35" s="182">
        <f>'Fee Calc 2017'!S35</f>
        <v>61908.326150000001</v>
      </c>
      <c r="C35" s="185">
        <v>17101</v>
      </c>
      <c r="D35" s="183">
        <f>C35*E41</f>
        <v>34202</v>
      </c>
      <c r="E35" s="183">
        <f>J49+((C35-C49)*G50)</f>
        <v>12710.4</v>
      </c>
      <c r="F35" s="183">
        <f t="shared" si="14"/>
        <v>46912.4</v>
      </c>
      <c r="G35" s="181">
        <f t="shared" si="15"/>
        <v>46912.4</v>
      </c>
      <c r="H35" s="183">
        <v>4542404.8899999997</v>
      </c>
      <c r="I35" s="183">
        <v>1</v>
      </c>
      <c r="J35" s="183" t="s">
        <v>36</v>
      </c>
      <c r="K35" s="183">
        <f t="shared" si="16"/>
        <v>4542404.8899999997</v>
      </c>
      <c r="L35" s="183">
        <f t="shared" si="17"/>
        <v>15217.056381499999</v>
      </c>
      <c r="M35" s="183" t="str">
        <f>IF(L35&gt;G35,"Y","N")</f>
        <v>N</v>
      </c>
      <c r="N35" s="181">
        <f t="shared" si="3"/>
        <v>15217.056381499999</v>
      </c>
      <c r="O35" s="183">
        <f t="shared" si="21"/>
        <v>62129.4563815</v>
      </c>
      <c r="P35" s="183">
        <f t="shared" si="18"/>
        <v>221.13023149999935</v>
      </c>
      <c r="Q35" s="183">
        <f t="shared" si="19"/>
        <v>0.35718980830496794</v>
      </c>
      <c r="R35" s="183" t="str">
        <f t="shared" si="13"/>
        <v>N</v>
      </c>
      <c r="S35" s="194">
        <f>O35</f>
        <v>62129.4563815</v>
      </c>
      <c r="T35" s="118"/>
      <c r="U35" s="117" t="s">
        <v>132</v>
      </c>
    </row>
    <row r="36" spans="1:21" s="97" customFormat="1" x14ac:dyDescent="0.35">
      <c r="A36" s="177"/>
      <c r="B36" s="178"/>
      <c r="C36" s="186"/>
      <c r="D36" s="180"/>
      <c r="E36" s="180"/>
      <c r="F36" s="180"/>
      <c r="G36" s="181"/>
      <c r="H36" s="180"/>
      <c r="I36" s="180"/>
      <c r="J36" s="180"/>
      <c r="K36" s="180"/>
      <c r="L36" s="180"/>
      <c r="M36" s="180"/>
      <c r="N36" s="181"/>
      <c r="O36" s="180"/>
      <c r="P36" s="180"/>
      <c r="Q36" s="180"/>
      <c r="R36" s="180"/>
      <c r="S36" s="180"/>
    </row>
    <row r="37" spans="1:21" s="97" customFormat="1" x14ac:dyDescent="0.35">
      <c r="A37" s="187" t="s">
        <v>108</v>
      </c>
      <c r="B37" s="188">
        <f>SUBTOTAL(9, B23:B35)</f>
        <v>108035.90946219214</v>
      </c>
      <c r="C37" s="192">
        <f>SUBTOTAL(9, C23:C35)</f>
        <v>29383</v>
      </c>
      <c r="D37" s="180"/>
      <c r="E37" s="180"/>
      <c r="F37" s="180"/>
      <c r="G37" s="181"/>
      <c r="H37" s="180"/>
      <c r="I37" s="180"/>
      <c r="J37" s="180"/>
      <c r="K37" s="180"/>
      <c r="L37" s="180"/>
      <c r="M37" s="180"/>
      <c r="N37" s="181"/>
      <c r="O37" s="180"/>
      <c r="P37" s="180"/>
      <c r="Q37" s="180"/>
      <c r="R37" s="180"/>
      <c r="S37" s="188">
        <f>SUBTOTAL(9, S23:S35)</f>
        <v>112380.73247622636</v>
      </c>
    </row>
    <row r="38" spans="1:21" s="97" customFormat="1" x14ac:dyDescent="0.35">
      <c r="A38" s="187" t="s">
        <v>10</v>
      </c>
      <c r="B38" s="188">
        <f>B21+B37</f>
        <v>116912.87434538617</v>
      </c>
      <c r="C38" s="192">
        <f>C21+C37</f>
        <v>32141</v>
      </c>
      <c r="D38" s="180"/>
      <c r="E38" s="180"/>
      <c r="F38" s="180"/>
      <c r="G38" s="181"/>
      <c r="H38" s="180"/>
      <c r="I38" s="180"/>
      <c r="J38" s="180"/>
      <c r="K38" s="180"/>
      <c r="L38" s="180"/>
      <c r="M38" s="180"/>
      <c r="N38" s="181"/>
      <c r="O38" s="180"/>
      <c r="P38" s="180"/>
      <c r="Q38" s="180"/>
      <c r="R38" s="180"/>
      <c r="S38" s="188">
        <f>S21+S37</f>
        <v>121913.72012294976</v>
      </c>
    </row>
    <row r="39" spans="1:21" x14ac:dyDescent="0.35">
      <c r="H39" s="175"/>
    </row>
    <row r="40" spans="1:21" x14ac:dyDescent="0.35">
      <c r="C40" s="108"/>
      <c r="D40" s="108"/>
      <c r="E40" s="108" t="s">
        <v>128</v>
      </c>
      <c r="F40" s="108" t="s">
        <v>96</v>
      </c>
      <c r="G40" s="108" t="s">
        <v>10</v>
      </c>
      <c r="H40" s="176"/>
      <c r="I40" s="108"/>
      <c r="J40" s="108" t="s">
        <v>97</v>
      </c>
      <c r="K40" s="108"/>
    </row>
    <row r="41" spans="1:21" x14ac:dyDescent="0.35">
      <c r="C41" s="108"/>
      <c r="D41" s="114"/>
      <c r="E41" s="108">
        <v>2</v>
      </c>
      <c r="F41" s="108"/>
      <c r="G41" s="108"/>
      <c r="H41" s="176"/>
      <c r="I41" s="108"/>
      <c r="J41" s="108"/>
      <c r="K41" s="108"/>
    </row>
    <row r="42" spans="1:21" x14ac:dyDescent="0.35">
      <c r="C42" s="110" t="s">
        <v>94</v>
      </c>
      <c r="D42" s="114"/>
      <c r="E42" s="108"/>
      <c r="F42" s="108"/>
      <c r="G42" s="108"/>
      <c r="H42" s="176"/>
      <c r="I42" s="108"/>
      <c r="J42" s="108" t="s">
        <v>21</v>
      </c>
      <c r="K42" s="108"/>
    </row>
    <row r="43" spans="1:21" x14ac:dyDescent="0.35">
      <c r="C43" s="110">
        <v>100</v>
      </c>
      <c r="D43" s="147">
        <v>100</v>
      </c>
      <c r="E43" s="108">
        <f>E41</f>
        <v>2</v>
      </c>
      <c r="F43" s="108">
        <v>1</v>
      </c>
      <c r="G43" s="111">
        <f>E43*F43</f>
        <v>2</v>
      </c>
      <c r="H43" s="176"/>
      <c r="I43" s="108">
        <f>D43*E43*F43</f>
        <v>200</v>
      </c>
      <c r="J43" s="111">
        <v>200</v>
      </c>
      <c r="K43" s="108"/>
    </row>
    <row r="44" spans="1:21" x14ac:dyDescent="0.35">
      <c r="C44" s="110">
        <v>250</v>
      </c>
      <c r="D44" s="147">
        <v>150</v>
      </c>
      <c r="E44" s="108">
        <v>2</v>
      </c>
      <c r="F44" s="108">
        <v>0.9</v>
      </c>
      <c r="G44" s="111">
        <f t="shared" ref="G44:G49" si="23">E44*F44</f>
        <v>1.8</v>
      </c>
      <c r="H44" s="176"/>
      <c r="I44" s="108">
        <f t="shared" ref="I44:I50" si="24">D44*E44*F44</f>
        <v>270</v>
      </c>
      <c r="J44" s="111">
        <f t="shared" ref="J44:J50" si="25">J43+I44</f>
        <v>470</v>
      </c>
      <c r="K44" s="108"/>
    </row>
    <row r="45" spans="1:21" x14ac:dyDescent="0.35">
      <c r="C45" s="110">
        <v>500</v>
      </c>
      <c r="D45" s="147">
        <v>250</v>
      </c>
      <c r="E45" s="108">
        <v>2</v>
      </c>
      <c r="F45" s="108">
        <v>0.8</v>
      </c>
      <c r="G45" s="111">
        <f t="shared" si="23"/>
        <v>1.6</v>
      </c>
      <c r="H45" s="176"/>
      <c r="I45" s="108">
        <f t="shared" si="24"/>
        <v>400</v>
      </c>
      <c r="J45" s="111">
        <f t="shared" si="25"/>
        <v>870</v>
      </c>
      <c r="K45" s="108"/>
      <c r="N45" s="107">
        <v>2890</v>
      </c>
    </row>
    <row r="46" spans="1:21" x14ac:dyDescent="0.35">
      <c r="C46" s="110">
        <v>1000</v>
      </c>
      <c r="D46" s="147">
        <v>500</v>
      </c>
      <c r="E46" s="108">
        <v>2</v>
      </c>
      <c r="F46" s="108">
        <v>0.7</v>
      </c>
      <c r="G46" s="111">
        <f>E46*F46</f>
        <v>1.4</v>
      </c>
      <c r="H46" s="176"/>
      <c r="I46" s="108">
        <f t="shared" si="24"/>
        <v>700</v>
      </c>
      <c r="J46" s="111">
        <f t="shared" si="25"/>
        <v>1570</v>
      </c>
      <c r="K46" s="108"/>
      <c r="N46" s="107">
        <v>-1092</v>
      </c>
    </row>
    <row r="47" spans="1:21" x14ac:dyDescent="0.35">
      <c r="C47" s="110">
        <v>2500</v>
      </c>
      <c r="D47" s="147">
        <v>1500</v>
      </c>
      <c r="E47" s="108">
        <v>2</v>
      </c>
      <c r="F47" s="108">
        <v>0.6</v>
      </c>
      <c r="G47" s="111">
        <f t="shared" si="23"/>
        <v>1.2</v>
      </c>
      <c r="H47" s="176"/>
      <c r="I47" s="108">
        <f t="shared" si="24"/>
        <v>1800</v>
      </c>
      <c r="J47" s="111">
        <f t="shared" si="25"/>
        <v>3370</v>
      </c>
      <c r="K47" s="108"/>
      <c r="N47" s="107">
        <v>-728</v>
      </c>
    </row>
    <row r="48" spans="1:21" x14ac:dyDescent="0.35">
      <c r="C48" s="110">
        <v>5000</v>
      </c>
      <c r="D48" s="147">
        <v>2500</v>
      </c>
      <c r="E48" s="108">
        <v>2</v>
      </c>
      <c r="F48" s="108">
        <v>0.5</v>
      </c>
      <c r="G48" s="111">
        <f t="shared" si="23"/>
        <v>1</v>
      </c>
      <c r="H48" s="176"/>
      <c r="I48" s="108">
        <f t="shared" si="24"/>
        <v>2500</v>
      </c>
      <c r="J48" s="111">
        <f t="shared" si="25"/>
        <v>5870</v>
      </c>
      <c r="K48" s="108"/>
    </row>
    <row r="49" spans="3:11" x14ac:dyDescent="0.35">
      <c r="C49" s="110">
        <v>10000</v>
      </c>
      <c r="D49" s="147">
        <v>5000</v>
      </c>
      <c r="E49" s="108">
        <v>2</v>
      </c>
      <c r="F49" s="108">
        <v>0.4</v>
      </c>
      <c r="G49" s="111">
        <f t="shared" si="23"/>
        <v>0.8</v>
      </c>
      <c r="H49" s="176"/>
      <c r="I49" s="108">
        <f t="shared" si="24"/>
        <v>4000</v>
      </c>
      <c r="J49" s="111">
        <f t="shared" si="25"/>
        <v>9870</v>
      </c>
      <c r="K49" s="108"/>
    </row>
    <row r="50" spans="3:11" x14ac:dyDescent="0.35">
      <c r="C50" s="110">
        <v>20000</v>
      </c>
      <c r="D50" s="147">
        <v>10000</v>
      </c>
      <c r="E50" s="108">
        <v>2</v>
      </c>
      <c r="F50" s="108">
        <v>0.2</v>
      </c>
      <c r="G50" s="111">
        <f>E50*F50</f>
        <v>0.4</v>
      </c>
      <c r="H50" s="176"/>
      <c r="I50" s="108">
        <f t="shared" si="24"/>
        <v>4000</v>
      </c>
      <c r="J50" s="111">
        <f t="shared" si="25"/>
        <v>13870</v>
      </c>
      <c r="K50" s="108"/>
    </row>
    <row r="51" spans="3:11" x14ac:dyDescent="0.35">
      <c r="C51" s="108"/>
      <c r="D51" s="108"/>
      <c r="E51" s="108"/>
      <c r="F51" s="108"/>
      <c r="G51" s="108"/>
      <c r="H51" s="176"/>
      <c r="I51" s="108"/>
      <c r="J51" s="108"/>
      <c r="K51" s="108"/>
    </row>
    <row r="52" spans="3:11" x14ac:dyDescent="0.35">
      <c r="H52" s="175"/>
    </row>
    <row r="53" spans="3:11" x14ac:dyDescent="0.35">
      <c r="H53" s="175"/>
    </row>
  </sheetData>
  <mergeCells count="19">
    <mergeCell ref="S1:S5"/>
    <mergeCell ref="M1:M5"/>
    <mergeCell ref="N1:N5"/>
    <mergeCell ref="O1:O5"/>
    <mergeCell ref="P1:P5"/>
    <mergeCell ref="Q1:Q5"/>
    <mergeCell ref="R1:R5"/>
    <mergeCell ref="L1:L5"/>
    <mergeCell ref="A1:A5"/>
    <mergeCell ref="B1:B5"/>
    <mergeCell ref="C1:C5"/>
    <mergeCell ref="D1:D5"/>
    <mergeCell ref="E1:E5"/>
    <mergeCell ref="F1:F5"/>
    <mergeCell ref="G1:G5"/>
    <mergeCell ref="H1:H5"/>
    <mergeCell ref="I1:I5"/>
    <mergeCell ref="J1:J5"/>
    <mergeCell ref="K1:K5"/>
  </mergeCells>
  <pageMargins left="0.7" right="0.7" top="0.75" bottom="0.75" header="0.3" footer="0.3"/>
  <pageSetup paperSize="8" scale="76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D42"/>
  <sheetViews>
    <sheetView tabSelected="1" workbookViewId="0">
      <selection activeCell="B2" sqref="B2"/>
    </sheetView>
  </sheetViews>
  <sheetFormatPr defaultColWidth="9.1796875" defaultRowHeight="10" x14ac:dyDescent="0.2"/>
  <cols>
    <col min="1" max="1" width="9.54296875" style="1" bestFit="1" customWidth="1"/>
    <col min="2" max="2" width="16.54296875" style="1" bestFit="1" customWidth="1"/>
    <col min="3" max="3" width="9.81640625" style="52" bestFit="1" customWidth="1"/>
    <col min="4" max="4" width="1.453125" style="4" customWidth="1"/>
    <col min="5" max="5" width="8.7265625" style="1" bestFit="1" customWidth="1"/>
    <col min="6" max="6" width="5.1796875" style="1" bestFit="1" customWidth="1"/>
    <col min="7" max="7" width="1.1796875" style="4" customWidth="1"/>
    <col min="8" max="8" width="8.54296875" style="1" customWidth="1"/>
    <col min="9" max="9" width="9" style="1" bestFit="1" customWidth="1"/>
    <col min="10" max="10" width="8.81640625" style="1" customWidth="1"/>
    <col min="11" max="11" width="8.1796875" style="1" bestFit="1" customWidth="1"/>
    <col min="12" max="12" width="9" style="1" bestFit="1" customWidth="1"/>
    <col min="13" max="13" width="4.453125" style="1" bestFit="1" customWidth="1"/>
    <col min="14" max="15" width="8.1796875" style="1" bestFit="1" customWidth="1"/>
    <col min="16" max="19" width="4.453125" style="1" bestFit="1" customWidth="1"/>
    <col min="20" max="20" width="1.26953125" style="4" customWidth="1"/>
    <col min="21" max="21" width="9.81640625" style="52" bestFit="1" customWidth="1"/>
    <col min="22" max="22" width="9.81640625" style="1" bestFit="1" customWidth="1"/>
    <col min="23" max="23" width="1.453125" style="5" customWidth="1"/>
    <col min="24" max="24" width="9" style="1" bestFit="1" customWidth="1"/>
    <col min="25" max="26" width="6.81640625" style="1" bestFit="1" customWidth="1"/>
    <col min="27" max="28" width="8.1796875" style="1" bestFit="1" customWidth="1"/>
    <col min="29" max="29" width="1.54296875" style="1" customWidth="1"/>
    <col min="30" max="30" width="10.26953125" style="143" customWidth="1"/>
    <col min="31" max="31" width="9.1796875" style="1"/>
    <col min="32" max="32" width="11.26953125" style="1" bestFit="1" customWidth="1"/>
    <col min="33" max="16384" width="9.1796875" style="1"/>
  </cols>
  <sheetData>
    <row r="2" spans="1:30" x14ac:dyDescent="0.2">
      <c r="A2" s="3" t="s">
        <v>49</v>
      </c>
    </row>
    <row r="3" spans="1:30" x14ac:dyDescent="0.2">
      <c r="A3" s="6" t="s">
        <v>50</v>
      </c>
    </row>
    <row r="4" spans="1:30" x14ac:dyDescent="0.2">
      <c r="U4" s="149"/>
      <c r="V4" s="7"/>
      <c r="X4" s="1" t="s">
        <v>51</v>
      </c>
    </row>
    <row r="5" spans="1:30" ht="11" thickBot="1" x14ac:dyDescent="0.3">
      <c r="A5" s="199" t="s">
        <v>52</v>
      </c>
      <c r="B5" s="9"/>
      <c r="C5" s="10">
        <v>2018</v>
      </c>
      <c r="D5" s="197"/>
      <c r="E5" s="11" t="s">
        <v>54</v>
      </c>
      <c r="F5" s="155" t="s">
        <v>55</v>
      </c>
      <c r="H5" s="13">
        <v>42005</v>
      </c>
      <c r="I5" s="13">
        <v>42036</v>
      </c>
      <c r="J5" s="13">
        <v>42064</v>
      </c>
      <c r="K5" s="13">
        <v>42095</v>
      </c>
      <c r="L5" s="13">
        <v>42125</v>
      </c>
      <c r="M5" s="13">
        <v>42156</v>
      </c>
      <c r="N5" s="13">
        <v>42186</v>
      </c>
      <c r="O5" s="13">
        <v>42217</v>
      </c>
      <c r="P5" s="13">
        <v>42248</v>
      </c>
      <c r="Q5" s="13">
        <v>42278</v>
      </c>
      <c r="R5" s="13">
        <v>42309</v>
      </c>
      <c r="S5" s="13">
        <v>42339</v>
      </c>
      <c r="T5" s="14"/>
      <c r="U5" s="150" t="s">
        <v>126</v>
      </c>
      <c r="V5" s="15" t="s">
        <v>57</v>
      </c>
      <c r="X5" s="13" t="s">
        <v>58</v>
      </c>
      <c r="Y5" s="151">
        <v>2015</v>
      </c>
      <c r="Z5" s="151">
        <v>2016</v>
      </c>
      <c r="AA5" s="151" t="s">
        <v>127</v>
      </c>
      <c r="AB5" s="13" t="s">
        <v>10</v>
      </c>
      <c r="AD5" s="200" t="s">
        <v>61</v>
      </c>
    </row>
    <row r="6" spans="1:30" s="152" customFormat="1" x14ac:dyDescent="0.2">
      <c r="A6" s="161"/>
      <c r="B6" s="130" t="s">
        <v>62</v>
      </c>
      <c r="C6" s="205">
        <f>'Fee Calc 2018 '!S7</f>
        <v>473.86521622834266</v>
      </c>
      <c r="D6" s="206"/>
      <c r="E6" s="207">
        <v>43237</v>
      </c>
      <c r="F6" s="226">
        <f>IFERROR(DATE(2016,MONTH(E6),1),"")</f>
        <v>42491</v>
      </c>
      <c r="G6" s="206"/>
      <c r="H6" s="134"/>
      <c r="I6" s="134"/>
      <c r="J6" s="134"/>
      <c r="K6" s="134"/>
      <c r="L6" s="134">
        <v>473.87</v>
      </c>
      <c r="M6" s="134"/>
      <c r="N6" s="134"/>
      <c r="O6" s="134"/>
      <c r="P6" s="134"/>
      <c r="Q6" s="134"/>
      <c r="R6" s="134"/>
      <c r="S6" s="227"/>
      <c r="T6" s="210"/>
      <c r="U6" s="211">
        <f t="shared" ref="U6:U18" si="0">SUM(H6:T6)</f>
        <v>473.87</v>
      </c>
      <c r="V6" s="227">
        <f>C6+AB6</f>
        <v>473.86521622834266</v>
      </c>
      <c r="W6" s="212"/>
      <c r="X6" s="134"/>
      <c r="Y6" s="134"/>
      <c r="Z6" s="134"/>
      <c r="AA6" s="134"/>
      <c r="AB6" s="227">
        <f>SUM(X6:AA6)</f>
        <v>0</v>
      </c>
      <c r="AD6" s="201"/>
    </row>
    <row r="7" spans="1:30" s="152" customFormat="1" x14ac:dyDescent="0.2">
      <c r="A7" s="161"/>
      <c r="B7" s="4" t="s">
        <v>63</v>
      </c>
      <c r="C7" s="198">
        <f>'Fee Calc 2018 '!S8</f>
        <v>131.58338860103626</v>
      </c>
      <c r="D7" s="161"/>
      <c r="E7" s="157"/>
      <c r="F7" s="156">
        <f t="shared" ref="F7:F18" si="1">IFERROR(DATE(2016,MONTH(E7),1),"")</f>
        <v>42370</v>
      </c>
      <c r="G7" s="16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164"/>
      <c r="T7" s="160"/>
      <c r="U7" s="171">
        <f t="shared" si="0"/>
        <v>0</v>
      </c>
      <c r="V7" s="164">
        <f t="shared" ref="V7:V18" si="2">C7+AB7</f>
        <v>131.58338860103626</v>
      </c>
      <c r="W7" s="159"/>
      <c r="X7" s="41"/>
      <c r="Y7" s="41"/>
      <c r="Z7" s="41"/>
      <c r="AA7" s="41"/>
      <c r="AB7" s="164">
        <f t="shared" ref="AB7:AB18" si="3">SUM(X7:AA7)</f>
        <v>0</v>
      </c>
      <c r="AD7" s="201"/>
    </row>
    <row r="8" spans="1:30" s="152" customFormat="1" x14ac:dyDescent="0.2">
      <c r="A8" s="161"/>
      <c r="B8" s="4" t="s">
        <v>64</v>
      </c>
      <c r="C8" s="198">
        <f>'Fee Calc 2018 '!S9</f>
        <v>1854.8292584469029</v>
      </c>
      <c r="D8" s="161"/>
      <c r="E8" s="157"/>
      <c r="F8" s="156">
        <f t="shared" si="1"/>
        <v>42370</v>
      </c>
      <c r="G8" s="16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164"/>
      <c r="T8" s="160"/>
      <c r="U8" s="171">
        <f t="shared" si="0"/>
        <v>0</v>
      </c>
      <c r="V8" s="164">
        <f t="shared" si="2"/>
        <v>1854.8292584469029</v>
      </c>
      <c r="W8" s="159"/>
      <c r="X8" s="41"/>
      <c r="Y8" s="41"/>
      <c r="Z8" s="41"/>
      <c r="AA8" s="41"/>
      <c r="AB8" s="164">
        <f t="shared" si="3"/>
        <v>0</v>
      </c>
      <c r="AD8" s="153"/>
    </row>
    <row r="9" spans="1:30" s="152" customFormat="1" x14ac:dyDescent="0.2">
      <c r="A9" s="161"/>
      <c r="B9" s="4" t="s">
        <v>65</v>
      </c>
      <c r="C9" s="198">
        <f>'Fee Calc 2018 '!S10</f>
        <v>204.624</v>
      </c>
      <c r="D9" s="161"/>
      <c r="E9" s="157"/>
      <c r="F9" s="156">
        <f t="shared" si="1"/>
        <v>42370</v>
      </c>
      <c r="G9" s="16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164"/>
      <c r="T9" s="160"/>
      <c r="U9" s="171">
        <f t="shared" si="0"/>
        <v>0</v>
      </c>
      <c r="V9" s="164">
        <f t="shared" si="2"/>
        <v>204.624</v>
      </c>
      <c r="W9" s="159"/>
      <c r="X9" s="41"/>
      <c r="Y9" s="41"/>
      <c r="Z9" s="41"/>
      <c r="AA9" s="41"/>
      <c r="AB9" s="164">
        <f t="shared" si="3"/>
        <v>0</v>
      </c>
      <c r="AD9" s="154"/>
    </row>
    <row r="10" spans="1:30" s="152" customFormat="1" x14ac:dyDescent="0.2">
      <c r="A10" s="161"/>
      <c r="B10" s="130" t="s">
        <v>66</v>
      </c>
      <c r="C10" s="205">
        <f>'Fee Calc 2018 '!S11</f>
        <v>119.25</v>
      </c>
      <c r="D10" s="206"/>
      <c r="E10" s="207">
        <v>43171</v>
      </c>
      <c r="F10" s="208">
        <f t="shared" si="1"/>
        <v>42430</v>
      </c>
      <c r="G10" s="206"/>
      <c r="H10" s="134"/>
      <c r="I10" s="134"/>
      <c r="J10" s="134">
        <v>119.25</v>
      </c>
      <c r="K10" s="134"/>
      <c r="L10" s="134"/>
      <c r="M10" s="134"/>
      <c r="N10" s="134"/>
      <c r="O10" s="134"/>
      <c r="P10" s="134"/>
      <c r="Q10" s="134"/>
      <c r="R10" s="134"/>
      <c r="S10" s="209"/>
      <c r="T10" s="210"/>
      <c r="U10" s="211">
        <f t="shared" si="0"/>
        <v>119.25</v>
      </c>
      <c r="V10" s="209">
        <f t="shared" si="2"/>
        <v>119.25</v>
      </c>
      <c r="W10" s="212"/>
      <c r="X10" s="134"/>
      <c r="Y10" s="134"/>
      <c r="Z10" s="134"/>
      <c r="AA10" s="134"/>
      <c r="AB10" s="209">
        <f t="shared" si="3"/>
        <v>0</v>
      </c>
      <c r="AD10" s="154"/>
    </row>
    <row r="11" spans="1:30" s="152" customFormat="1" x14ac:dyDescent="0.2">
      <c r="A11" s="161"/>
      <c r="B11" s="130" t="s">
        <v>67</v>
      </c>
      <c r="C11" s="205">
        <f>'Fee Calc 2018 '!S12</f>
        <v>321.07238914871652</v>
      </c>
      <c r="D11" s="206"/>
      <c r="E11" s="207">
        <v>43207</v>
      </c>
      <c r="F11" s="208">
        <f t="shared" si="1"/>
        <v>42461</v>
      </c>
      <c r="G11" s="206"/>
      <c r="H11" s="134"/>
      <c r="I11" s="134"/>
      <c r="J11" s="134"/>
      <c r="K11" s="134">
        <v>321.07</v>
      </c>
      <c r="L11" s="134"/>
      <c r="M11" s="134"/>
      <c r="N11" s="134"/>
      <c r="O11" s="134"/>
      <c r="P11" s="134"/>
      <c r="Q11" s="134"/>
      <c r="R11" s="134"/>
      <c r="S11" s="209"/>
      <c r="T11" s="210"/>
      <c r="U11" s="211">
        <f t="shared" si="0"/>
        <v>321.07</v>
      </c>
      <c r="V11" s="209">
        <f t="shared" si="2"/>
        <v>321.07238914871652</v>
      </c>
      <c r="W11" s="212"/>
      <c r="X11" s="134"/>
      <c r="Y11" s="134"/>
      <c r="Z11" s="134"/>
      <c r="AA11" s="134"/>
      <c r="AB11" s="209">
        <f t="shared" si="3"/>
        <v>0</v>
      </c>
      <c r="AD11" s="154"/>
    </row>
    <row r="12" spans="1:30" s="152" customFormat="1" x14ac:dyDescent="0.2">
      <c r="A12" s="161"/>
      <c r="B12" s="4" t="s">
        <v>68</v>
      </c>
      <c r="C12" s="198">
        <f>'Fee Calc 2018 '!S13</f>
        <v>262.12929346153845</v>
      </c>
      <c r="D12" s="161"/>
      <c r="E12" s="157"/>
      <c r="F12" s="156">
        <f t="shared" si="1"/>
        <v>42370</v>
      </c>
      <c r="G12" s="16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164"/>
      <c r="T12" s="160"/>
      <c r="U12" s="171">
        <f t="shared" si="0"/>
        <v>0</v>
      </c>
      <c r="V12" s="164">
        <f t="shared" si="2"/>
        <v>262.12929346153845</v>
      </c>
      <c r="W12" s="159"/>
      <c r="X12" s="41"/>
      <c r="Y12" s="41"/>
      <c r="Z12" s="41"/>
      <c r="AA12" s="41"/>
      <c r="AB12" s="164">
        <f t="shared" si="3"/>
        <v>0</v>
      </c>
      <c r="AD12" s="154"/>
    </row>
    <row r="13" spans="1:30" s="152" customFormat="1" x14ac:dyDescent="0.2">
      <c r="A13" s="161"/>
      <c r="B13" s="130" t="s">
        <v>69</v>
      </c>
      <c r="C13" s="205">
        <f>'Fee Calc 2018 '!S14</f>
        <v>1091.9846008368584</v>
      </c>
      <c r="D13" s="206"/>
      <c r="E13" s="207">
        <v>43160</v>
      </c>
      <c r="F13" s="208">
        <f t="shared" si="1"/>
        <v>42430</v>
      </c>
      <c r="G13" s="206"/>
      <c r="H13" s="134"/>
      <c r="I13" s="134"/>
      <c r="J13" s="134">
        <v>1091.98</v>
      </c>
      <c r="K13" s="134"/>
      <c r="L13" s="134"/>
      <c r="M13" s="134"/>
      <c r="N13" s="134"/>
      <c r="O13" s="134"/>
      <c r="P13" s="134"/>
      <c r="Q13" s="134"/>
      <c r="R13" s="134"/>
      <c r="S13" s="209"/>
      <c r="T13" s="210"/>
      <c r="U13" s="211">
        <f t="shared" si="0"/>
        <v>1091.98</v>
      </c>
      <c r="V13" s="209">
        <f t="shared" si="2"/>
        <v>1091.9846008368584</v>
      </c>
      <c r="W13" s="212"/>
      <c r="X13" s="134"/>
      <c r="Y13" s="134"/>
      <c r="Z13" s="134"/>
      <c r="AA13" s="134"/>
      <c r="AB13" s="209">
        <f t="shared" si="3"/>
        <v>0</v>
      </c>
      <c r="AD13" s="154"/>
    </row>
    <row r="14" spans="1:30" s="152" customFormat="1" x14ac:dyDescent="0.2">
      <c r="A14" s="161"/>
      <c r="B14" s="4" t="s">
        <v>70</v>
      </c>
      <c r="C14" s="198">
        <f>'Fee Calc 2018 '!S15</f>
        <v>205.8</v>
      </c>
      <c r="D14" s="161"/>
      <c r="E14" s="157"/>
      <c r="F14" s="156">
        <f t="shared" si="1"/>
        <v>42370</v>
      </c>
      <c r="G14" s="16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164"/>
      <c r="T14" s="160"/>
      <c r="U14" s="171">
        <f t="shared" si="0"/>
        <v>0</v>
      </c>
      <c r="V14" s="164">
        <f t="shared" si="2"/>
        <v>205.8</v>
      </c>
      <c r="W14" s="159"/>
      <c r="X14" s="41"/>
      <c r="Y14" s="41"/>
      <c r="Z14" s="41"/>
      <c r="AA14" s="41"/>
      <c r="AB14" s="164">
        <f t="shared" si="3"/>
        <v>0</v>
      </c>
      <c r="AD14" s="154"/>
    </row>
    <row r="15" spans="1:30" s="152" customFormat="1" x14ac:dyDescent="0.2">
      <c r="A15" s="161"/>
      <c r="B15" s="130" t="s">
        <v>71</v>
      </c>
      <c r="C15" s="205">
        <f>'Fee Calc 2018 '!S16</f>
        <v>147.34950000000001</v>
      </c>
      <c r="D15" s="206"/>
      <c r="E15" s="207">
        <v>43173</v>
      </c>
      <c r="F15" s="208">
        <f t="shared" si="1"/>
        <v>42430</v>
      </c>
      <c r="G15" s="206"/>
      <c r="H15" s="134"/>
      <c r="I15" s="134"/>
      <c r="J15" s="134">
        <v>147.35</v>
      </c>
      <c r="K15" s="134"/>
      <c r="L15" s="134"/>
      <c r="M15" s="134"/>
      <c r="N15" s="134"/>
      <c r="O15" s="134"/>
      <c r="P15" s="134"/>
      <c r="Q15" s="134"/>
      <c r="R15" s="134"/>
      <c r="S15" s="209"/>
      <c r="T15" s="210"/>
      <c r="U15" s="211">
        <f t="shared" si="0"/>
        <v>147.35</v>
      </c>
      <c r="V15" s="209">
        <f t="shared" si="2"/>
        <v>147.34950000000001</v>
      </c>
      <c r="W15" s="212"/>
      <c r="X15" s="134"/>
      <c r="Y15" s="134"/>
      <c r="Z15" s="134"/>
      <c r="AA15" s="134"/>
      <c r="AB15" s="209">
        <f t="shared" si="3"/>
        <v>0</v>
      </c>
      <c r="AD15" s="154"/>
    </row>
    <row r="16" spans="1:30" s="152" customFormat="1" x14ac:dyDescent="0.2">
      <c r="A16" s="161"/>
      <c r="B16" s="4" t="s">
        <v>72</v>
      </c>
      <c r="C16" s="198">
        <f>'Fee Calc 2018 '!S17</f>
        <v>1638</v>
      </c>
      <c r="D16" s="161"/>
      <c r="E16" s="158"/>
      <c r="F16" s="156">
        <f t="shared" si="1"/>
        <v>42370</v>
      </c>
      <c r="G16" s="16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164"/>
      <c r="T16" s="160"/>
      <c r="U16" s="171">
        <f t="shared" si="0"/>
        <v>0</v>
      </c>
      <c r="V16" s="164">
        <f t="shared" si="2"/>
        <v>3943</v>
      </c>
      <c r="W16" s="159"/>
      <c r="X16" s="41"/>
      <c r="Y16" s="134">
        <v>485</v>
      </c>
      <c r="Z16" s="134">
        <v>728</v>
      </c>
      <c r="AA16" s="134">
        <v>1092</v>
      </c>
      <c r="AB16" s="164">
        <f>SUM(X16:AA16)</f>
        <v>2305</v>
      </c>
      <c r="AD16" s="154"/>
    </row>
    <row r="17" spans="1:30" s="152" customFormat="1" x14ac:dyDescent="0.2">
      <c r="A17" s="161"/>
      <c r="B17" s="130" t="s">
        <v>75</v>
      </c>
      <c r="C17" s="205">
        <f>'Fee Calc 2018 '!S18</f>
        <v>1856.25</v>
      </c>
      <c r="D17" s="206"/>
      <c r="E17" s="207">
        <v>43326</v>
      </c>
      <c r="F17" s="208">
        <f t="shared" si="1"/>
        <v>42583</v>
      </c>
      <c r="G17" s="206"/>
      <c r="H17" s="134"/>
      <c r="I17" s="134"/>
      <c r="J17" s="134"/>
      <c r="K17" s="134"/>
      <c r="L17" s="134"/>
      <c r="M17" s="134"/>
      <c r="N17" s="134"/>
      <c r="O17" s="134">
        <v>1856.25</v>
      </c>
      <c r="P17" s="134"/>
      <c r="Q17" s="134"/>
      <c r="R17" s="134"/>
      <c r="S17" s="209"/>
      <c r="T17" s="210"/>
      <c r="U17" s="211">
        <f t="shared" si="0"/>
        <v>1856.25</v>
      </c>
      <c r="V17" s="209">
        <f t="shared" si="2"/>
        <v>1856.25</v>
      </c>
      <c r="W17" s="212"/>
      <c r="X17" s="134"/>
      <c r="Y17" s="134"/>
      <c r="Z17" s="134"/>
      <c r="AA17" s="134"/>
      <c r="AB17" s="209">
        <f t="shared" si="3"/>
        <v>0</v>
      </c>
      <c r="AD17" s="154"/>
    </row>
    <row r="18" spans="1:30" s="152" customFormat="1" ht="10.5" thickBot="1" x14ac:dyDescent="0.25">
      <c r="A18" s="161"/>
      <c r="B18" s="214" t="s">
        <v>76</v>
      </c>
      <c r="C18" s="215">
        <f>'Fee Calc 2018 '!S19</f>
        <v>1226.25</v>
      </c>
      <c r="D18" s="228"/>
      <c r="E18" s="229">
        <v>43304</v>
      </c>
      <c r="F18" s="230">
        <f t="shared" si="1"/>
        <v>42552</v>
      </c>
      <c r="G18" s="206"/>
      <c r="H18" s="142"/>
      <c r="I18" s="142"/>
      <c r="J18" s="142"/>
      <c r="K18" s="142"/>
      <c r="L18" s="142"/>
      <c r="M18" s="142"/>
      <c r="N18" s="142">
        <v>1226.25</v>
      </c>
      <c r="O18" s="142"/>
      <c r="P18" s="142"/>
      <c r="Q18" s="142"/>
      <c r="R18" s="142"/>
      <c r="S18" s="231"/>
      <c r="T18" s="210"/>
      <c r="U18" s="232">
        <f t="shared" si="0"/>
        <v>1226.25</v>
      </c>
      <c r="V18" s="231">
        <f t="shared" si="2"/>
        <v>1226.25</v>
      </c>
      <c r="W18" s="212"/>
      <c r="X18" s="142"/>
      <c r="Y18" s="142"/>
      <c r="Z18" s="142"/>
      <c r="AA18" s="142"/>
      <c r="AB18" s="231">
        <f t="shared" si="3"/>
        <v>0</v>
      </c>
      <c r="AD18" s="154"/>
    </row>
    <row r="19" spans="1:30" ht="10.5" thickBot="1" x14ac:dyDescent="0.25">
      <c r="A19" s="5"/>
      <c r="B19" s="5"/>
      <c r="C19" s="114">
        <f>SUM(C6:C18)</f>
        <v>9532.9876467233953</v>
      </c>
      <c r="E19" s="52"/>
      <c r="F19" s="53"/>
      <c r="G19" s="161"/>
      <c r="H19" s="51">
        <f>SUM(H6:H18)</f>
        <v>0</v>
      </c>
      <c r="I19" s="51">
        <f t="shared" ref="I19:S19" si="4">SUM(I6:I18)</f>
        <v>0</v>
      </c>
      <c r="J19" s="51">
        <f t="shared" si="4"/>
        <v>1358.58</v>
      </c>
      <c r="K19" s="51">
        <f t="shared" si="4"/>
        <v>321.07</v>
      </c>
      <c r="L19" s="51">
        <f t="shared" si="4"/>
        <v>473.87</v>
      </c>
      <c r="M19" s="51">
        <f t="shared" si="4"/>
        <v>0</v>
      </c>
      <c r="N19" s="51">
        <f t="shared" si="4"/>
        <v>1226.25</v>
      </c>
      <c r="O19" s="51">
        <f t="shared" si="4"/>
        <v>1856.25</v>
      </c>
      <c r="P19" s="51">
        <f t="shared" si="4"/>
        <v>0</v>
      </c>
      <c r="Q19" s="51">
        <f t="shared" si="4"/>
        <v>0</v>
      </c>
      <c r="R19" s="51">
        <f t="shared" si="4"/>
        <v>0</v>
      </c>
      <c r="S19" s="165">
        <f t="shared" si="4"/>
        <v>0</v>
      </c>
      <c r="T19" s="159"/>
      <c r="U19" s="126">
        <f>SUM(U6:U18)</f>
        <v>5236.0200000000004</v>
      </c>
      <c r="V19" s="169">
        <f>SUM(V6:V18)</f>
        <v>11837.987646723395</v>
      </c>
      <c r="W19" s="159"/>
      <c r="X19" s="51">
        <f>SUM(X6:X18)</f>
        <v>0</v>
      </c>
      <c r="Y19" s="51">
        <f>SUM(Y6:Y18)</f>
        <v>485</v>
      </c>
      <c r="Z19" s="51">
        <f>SUM(Z6:Z18)</f>
        <v>728</v>
      </c>
      <c r="AA19" s="51">
        <f>SUM(AA6:AA18)</f>
        <v>1092</v>
      </c>
      <c r="AB19" s="165">
        <f t="shared" ref="AB19:AB36" si="5">SUM(X19:AA19)</f>
        <v>2305</v>
      </c>
      <c r="AD19" s="145"/>
    </row>
    <row r="20" spans="1:30" x14ac:dyDescent="0.2">
      <c r="A20" s="5"/>
      <c r="B20" s="5"/>
      <c r="C20" s="114"/>
      <c r="D20" s="24"/>
      <c r="E20" s="52"/>
      <c r="F20" s="53"/>
      <c r="G20" s="161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166"/>
      <c r="T20" s="160"/>
      <c r="U20" s="114"/>
      <c r="V20" s="166"/>
      <c r="W20" s="159"/>
      <c r="X20" s="2"/>
      <c r="Y20" s="2"/>
      <c r="Z20" s="2"/>
      <c r="AA20" s="2"/>
      <c r="AB20" s="166"/>
      <c r="AC20" s="5"/>
      <c r="AD20" s="146"/>
    </row>
    <row r="21" spans="1:30" ht="11" thickBot="1" x14ac:dyDescent="0.3">
      <c r="A21" s="199" t="s">
        <v>77</v>
      </c>
      <c r="B21" s="9"/>
      <c r="C21" s="126"/>
      <c r="D21" s="203"/>
      <c r="E21" s="16"/>
      <c r="F21" s="13"/>
      <c r="G21" s="16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165"/>
      <c r="T21" s="160"/>
      <c r="U21" s="126"/>
      <c r="V21" s="165"/>
      <c r="W21" s="159"/>
      <c r="X21" s="51"/>
      <c r="Y21" s="51"/>
      <c r="Z21" s="51"/>
      <c r="AA21" s="51"/>
      <c r="AB21" s="165"/>
      <c r="AC21" s="5"/>
      <c r="AD21" s="146"/>
    </row>
    <row r="22" spans="1:30" s="152" customFormat="1" x14ac:dyDescent="0.2">
      <c r="A22" s="161"/>
      <c r="B22" s="130" t="s">
        <v>78</v>
      </c>
      <c r="C22" s="205">
        <f>'Fee Calc 2018 '!S23</f>
        <v>3561.7465741789351</v>
      </c>
      <c r="D22" s="213"/>
      <c r="E22" s="207">
        <v>43231</v>
      </c>
      <c r="F22" s="208">
        <f t="shared" ref="F22:F34" si="6">IFERROR(DATE(2016,MONTH(E22),1),"")</f>
        <v>42491</v>
      </c>
      <c r="G22" s="206"/>
      <c r="H22" s="134"/>
      <c r="I22" s="134"/>
      <c r="J22" s="134"/>
      <c r="K22" s="134"/>
      <c r="L22" s="134">
        <v>3561.75</v>
      </c>
      <c r="M22" s="134"/>
      <c r="N22" s="134"/>
      <c r="O22" s="134"/>
      <c r="P22" s="134"/>
      <c r="Q22" s="134"/>
      <c r="R22" s="134"/>
      <c r="S22" s="209"/>
      <c r="T22" s="210"/>
      <c r="U22" s="211">
        <f>SUM(H22:T22)</f>
        <v>3561.75</v>
      </c>
      <c r="V22" s="209">
        <f t="shared" ref="V22:V34" si="7">C22+AB22</f>
        <v>3561.7465741789351</v>
      </c>
      <c r="W22" s="212"/>
      <c r="X22" s="134"/>
      <c r="Y22" s="134"/>
      <c r="Z22" s="134"/>
      <c r="AA22" s="134"/>
      <c r="AB22" s="209">
        <f>SUM(X22:AA22)</f>
        <v>0</v>
      </c>
      <c r="AD22" s="154"/>
    </row>
    <row r="23" spans="1:30" s="152" customFormat="1" x14ac:dyDescent="0.2">
      <c r="A23" s="161"/>
      <c r="B23" s="130" t="s">
        <v>79</v>
      </c>
      <c r="C23" s="205">
        <f>'Fee Calc 2018 '!S24</f>
        <v>3780</v>
      </c>
      <c r="D23" s="213"/>
      <c r="E23" s="207">
        <v>43173</v>
      </c>
      <c r="F23" s="208">
        <f t="shared" si="6"/>
        <v>42430</v>
      </c>
      <c r="G23" s="206"/>
      <c r="H23" s="134"/>
      <c r="I23" s="134"/>
      <c r="J23" s="134">
        <v>3780</v>
      </c>
      <c r="K23" s="134"/>
      <c r="L23" s="134"/>
      <c r="M23" s="134"/>
      <c r="N23" s="134"/>
      <c r="O23" s="134"/>
      <c r="P23" s="134"/>
      <c r="Q23" s="134"/>
      <c r="R23" s="134"/>
      <c r="S23" s="209"/>
      <c r="T23" s="210"/>
      <c r="U23" s="211">
        <f>SUM(H23:T23)</f>
        <v>3780</v>
      </c>
      <c r="V23" s="209">
        <f t="shared" si="7"/>
        <v>3780</v>
      </c>
      <c r="W23" s="212"/>
      <c r="X23" s="134"/>
      <c r="Y23" s="134"/>
      <c r="Z23" s="134"/>
      <c r="AA23" s="134"/>
      <c r="AB23" s="209">
        <f t="shared" ref="AB23:AB34" si="8">SUM(X23:AA23)</f>
        <v>0</v>
      </c>
      <c r="AD23" s="154"/>
    </row>
    <row r="24" spans="1:30" s="152" customFormat="1" x14ac:dyDescent="0.2">
      <c r="A24" s="161"/>
      <c r="B24" s="130" t="s">
        <v>81</v>
      </c>
      <c r="C24" s="205">
        <f>'Fee Calc 2018 '!S25</f>
        <v>6811.8169242939493</v>
      </c>
      <c r="D24" s="213"/>
      <c r="E24" s="207">
        <v>43222</v>
      </c>
      <c r="F24" s="208">
        <f t="shared" si="6"/>
        <v>42491</v>
      </c>
      <c r="G24" s="206"/>
      <c r="H24" s="134"/>
      <c r="I24" s="134"/>
      <c r="J24" s="134"/>
      <c r="K24" s="134"/>
      <c r="L24" s="134">
        <v>6811.82</v>
      </c>
      <c r="M24" s="134"/>
      <c r="N24" s="134"/>
      <c r="O24" s="134"/>
      <c r="P24" s="134"/>
      <c r="Q24" s="134"/>
      <c r="R24" s="134"/>
      <c r="S24" s="209"/>
      <c r="T24" s="210"/>
      <c r="U24" s="211">
        <f t="shared" ref="U24:U34" si="9">SUM(H24:T24)</f>
        <v>6811.82</v>
      </c>
      <c r="V24" s="209">
        <f t="shared" si="7"/>
        <v>6811.8169242939493</v>
      </c>
      <c r="W24" s="212"/>
      <c r="X24" s="134"/>
      <c r="Y24" s="134"/>
      <c r="Z24" s="134"/>
      <c r="AA24" s="134"/>
      <c r="AB24" s="209">
        <f t="shared" si="8"/>
        <v>0</v>
      </c>
      <c r="AD24" s="154"/>
    </row>
    <row r="25" spans="1:30" s="152" customFormat="1" x14ac:dyDescent="0.2">
      <c r="A25" s="161"/>
      <c r="B25" s="130" t="s">
        <v>83</v>
      </c>
      <c r="C25" s="205">
        <f>'Fee Calc 2018 '!S26</f>
        <v>3480.8</v>
      </c>
      <c r="D25" s="213"/>
      <c r="E25" s="207">
        <v>43153</v>
      </c>
      <c r="F25" s="208">
        <f t="shared" si="6"/>
        <v>42401</v>
      </c>
      <c r="G25" s="206"/>
      <c r="H25" s="134"/>
      <c r="I25" s="134">
        <v>3480.8</v>
      </c>
      <c r="J25" s="134"/>
      <c r="K25" s="134"/>
      <c r="L25" s="134"/>
      <c r="M25" s="134"/>
      <c r="N25" s="134"/>
      <c r="O25" s="134"/>
      <c r="P25" s="134"/>
      <c r="Q25" s="134"/>
      <c r="R25" s="134"/>
      <c r="S25" s="209"/>
      <c r="T25" s="210"/>
      <c r="U25" s="211">
        <f t="shared" si="9"/>
        <v>3480.8</v>
      </c>
      <c r="V25" s="209">
        <f t="shared" si="7"/>
        <v>3480.8</v>
      </c>
      <c r="W25" s="212"/>
      <c r="X25" s="134"/>
      <c r="Y25" s="134"/>
      <c r="Z25" s="134"/>
      <c r="AA25" s="134"/>
      <c r="AB25" s="209">
        <f t="shared" si="8"/>
        <v>0</v>
      </c>
      <c r="AD25" s="154"/>
    </row>
    <row r="26" spans="1:30" s="152" customFormat="1" x14ac:dyDescent="0.2">
      <c r="A26" s="161"/>
      <c r="B26" s="4" t="s">
        <v>84</v>
      </c>
      <c r="C26" s="198">
        <f>'Fee Calc 2018 '!S27</f>
        <v>2492.5560966107005</v>
      </c>
      <c r="D26" s="196"/>
      <c r="E26" s="157"/>
      <c r="F26" s="156">
        <f t="shared" si="6"/>
        <v>42370</v>
      </c>
      <c r="G26" s="16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164"/>
      <c r="T26" s="160"/>
      <c r="U26" s="171">
        <f t="shared" si="9"/>
        <v>0</v>
      </c>
      <c r="V26" s="164">
        <f t="shared" si="7"/>
        <v>2492.5560966107005</v>
      </c>
      <c r="W26" s="159"/>
      <c r="X26" s="41"/>
      <c r="Y26" s="41"/>
      <c r="Z26" s="41"/>
      <c r="AA26" s="41"/>
      <c r="AB26" s="164">
        <f t="shared" si="8"/>
        <v>0</v>
      </c>
      <c r="AD26" s="154"/>
    </row>
    <row r="27" spans="1:30" s="152" customFormat="1" x14ac:dyDescent="0.2">
      <c r="A27" s="161"/>
      <c r="B27" s="130" t="s">
        <v>85</v>
      </c>
      <c r="C27" s="205">
        <f>'Fee Calc 2018 '!S28</f>
        <v>8692.469377289377</v>
      </c>
      <c r="D27" s="213"/>
      <c r="E27" s="207">
        <v>43241</v>
      </c>
      <c r="F27" s="208">
        <f t="shared" si="6"/>
        <v>42491</v>
      </c>
      <c r="G27" s="206"/>
      <c r="H27" s="134"/>
      <c r="I27" s="134"/>
      <c r="J27" s="134"/>
      <c r="K27" s="134"/>
      <c r="L27" s="134">
        <v>8692.4699999999993</v>
      </c>
      <c r="M27" s="134"/>
      <c r="N27" s="134"/>
      <c r="O27" s="134"/>
      <c r="P27" s="134"/>
      <c r="Q27" s="134"/>
      <c r="R27" s="134"/>
      <c r="S27" s="209"/>
      <c r="T27" s="210"/>
      <c r="U27" s="211">
        <f t="shared" si="9"/>
        <v>8692.4699999999993</v>
      </c>
      <c r="V27" s="209">
        <f t="shared" si="7"/>
        <v>8692.469377289377</v>
      </c>
      <c r="W27" s="212"/>
      <c r="X27" s="134"/>
      <c r="Y27" s="134"/>
      <c r="Z27" s="134"/>
      <c r="AA27" s="134"/>
      <c r="AB27" s="209">
        <f t="shared" si="8"/>
        <v>0</v>
      </c>
      <c r="AD27" s="154"/>
    </row>
    <row r="28" spans="1:30" s="152" customFormat="1" x14ac:dyDescent="0.2">
      <c r="A28" s="162"/>
      <c r="B28" s="233" t="s">
        <v>87</v>
      </c>
      <c r="C28" s="234">
        <f>'Fee Calc 2018 '!S29</f>
        <v>8158.5</v>
      </c>
      <c r="D28" s="235"/>
      <c r="E28" s="236">
        <v>43304</v>
      </c>
      <c r="F28" s="237">
        <f t="shared" si="6"/>
        <v>42552</v>
      </c>
      <c r="G28" s="235"/>
      <c r="H28" s="67"/>
      <c r="I28" s="67"/>
      <c r="J28" s="67"/>
      <c r="K28" s="67"/>
      <c r="L28" s="67"/>
      <c r="M28" s="67"/>
      <c r="N28" s="67">
        <v>5000</v>
      </c>
      <c r="O28" s="67"/>
      <c r="P28" s="67"/>
      <c r="Q28" s="67"/>
      <c r="R28" s="67"/>
      <c r="S28" s="238"/>
      <c r="T28" s="239"/>
      <c r="U28" s="240">
        <f t="shared" si="9"/>
        <v>5000</v>
      </c>
      <c r="V28" s="238">
        <f t="shared" si="7"/>
        <v>8158.5</v>
      </c>
      <c r="W28" s="241"/>
      <c r="X28" s="67"/>
      <c r="Y28" s="67"/>
      <c r="Z28" s="67"/>
      <c r="AA28" s="67"/>
      <c r="AB28" s="238">
        <f t="shared" si="8"/>
        <v>0</v>
      </c>
      <c r="AD28" s="154"/>
    </row>
    <row r="29" spans="1:30" s="152" customFormat="1" x14ac:dyDescent="0.2">
      <c r="A29" s="162"/>
      <c r="B29" s="130" t="s">
        <v>88</v>
      </c>
      <c r="C29" s="205">
        <f>'Fee Calc 2018 '!S30</f>
        <v>918.01322825492343</v>
      </c>
      <c r="D29" s="206"/>
      <c r="E29" s="207">
        <v>43161</v>
      </c>
      <c r="F29" s="208">
        <f t="shared" si="6"/>
        <v>42430</v>
      </c>
      <c r="G29" s="206"/>
      <c r="H29" s="134"/>
      <c r="I29" s="134"/>
      <c r="J29" s="134">
        <v>918.01</v>
      </c>
      <c r="K29" s="134"/>
      <c r="L29" s="134"/>
      <c r="M29" s="134"/>
      <c r="N29" s="134"/>
      <c r="O29" s="134"/>
      <c r="P29" s="134"/>
      <c r="Q29" s="134"/>
      <c r="R29" s="134"/>
      <c r="S29" s="209"/>
      <c r="T29" s="210"/>
      <c r="U29" s="211">
        <f t="shared" si="9"/>
        <v>918.01</v>
      </c>
      <c r="V29" s="209">
        <f t="shared" si="7"/>
        <v>918.01322825492343</v>
      </c>
      <c r="W29" s="212"/>
      <c r="X29" s="134"/>
      <c r="Y29" s="134"/>
      <c r="Z29" s="134"/>
      <c r="AA29" s="134"/>
      <c r="AB29" s="209">
        <f t="shared" si="8"/>
        <v>0</v>
      </c>
      <c r="AD29" s="154"/>
    </row>
    <row r="30" spans="1:30" s="152" customFormat="1" x14ac:dyDescent="0.2">
      <c r="A30" s="162"/>
      <c r="B30" s="4" t="s">
        <v>89</v>
      </c>
      <c r="C30" s="198">
        <f>'Fee Calc 2018 '!S31</f>
        <v>2663.174750002629</v>
      </c>
      <c r="D30" s="161"/>
      <c r="E30" s="157"/>
      <c r="F30" s="156">
        <f t="shared" si="6"/>
        <v>42370</v>
      </c>
      <c r="G30" s="16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164"/>
      <c r="T30" s="160"/>
      <c r="U30" s="171">
        <f t="shared" si="9"/>
        <v>0</v>
      </c>
      <c r="V30" s="164">
        <f t="shared" si="7"/>
        <v>2663.174750002629</v>
      </c>
      <c r="W30" s="159"/>
      <c r="X30" s="41"/>
      <c r="Y30" s="41"/>
      <c r="Z30" s="41"/>
      <c r="AA30" s="41"/>
      <c r="AB30" s="164">
        <f t="shared" si="8"/>
        <v>0</v>
      </c>
      <c r="AD30" s="154"/>
    </row>
    <row r="31" spans="1:30" s="152" customFormat="1" x14ac:dyDescent="0.2">
      <c r="A31" s="162"/>
      <c r="B31" s="4" t="s">
        <v>90</v>
      </c>
      <c r="C31" s="198">
        <f>'Fee Calc 2018 '!S32</f>
        <v>3494.5846647032172</v>
      </c>
      <c r="D31" s="161"/>
      <c r="E31" s="157"/>
      <c r="F31" s="156">
        <f t="shared" si="6"/>
        <v>42370</v>
      </c>
      <c r="G31" s="16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164"/>
      <c r="T31" s="160"/>
      <c r="U31" s="171">
        <f t="shared" si="9"/>
        <v>0</v>
      </c>
      <c r="V31" s="164">
        <f t="shared" si="7"/>
        <v>3494.5846647032172</v>
      </c>
      <c r="W31" s="159"/>
      <c r="X31" s="41"/>
      <c r="Y31" s="41"/>
      <c r="Z31" s="41"/>
      <c r="AA31" s="41"/>
      <c r="AB31" s="164">
        <f t="shared" si="8"/>
        <v>0</v>
      </c>
      <c r="AD31" s="154"/>
    </row>
    <row r="32" spans="1:30" s="152" customFormat="1" x14ac:dyDescent="0.2">
      <c r="A32" s="161"/>
      <c r="B32" s="130" t="s">
        <v>91</v>
      </c>
      <c r="C32" s="205">
        <f>'Fee Calc 2018 '!S33</f>
        <v>799.86447939262473</v>
      </c>
      <c r="D32" s="206"/>
      <c r="E32" s="207">
        <v>43203</v>
      </c>
      <c r="F32" s="208">
        <f t="shared" si="6"/>
        <v>42461</v>
      </c>
      <c r="G32" s="206"/>
      <c r="H32" s="134"/>
      <c r="I32" s="134"/>
      <c r="J32" s="134"/>
      <c r="K32" s="134">
        <v>799.86</v>
      </c>
      <c r="L32" s="134"/>
      <c r="M32" s="134"/>
      <c r="N32" s="134"/>
      <c r="O32" s="134"/>
      <c r="P32" s="134"/>
      <c r="Q32" s="134"/>
      <c r="R32" s="134"/>
      <c r="S32" s="209"/>
      <c r="T32" s="210"/>
      <c r="U32" s="211">
        <f t="shared" si="9"/>
        <v>799.86</v>
      </c>
      <c r="V32" s="209">
        <f t="shared" si="7"/>
        <v>799.86447939262473</v>
      </c>
      <c r="W32" s="212"/>
      <c r="X32" s="134"/>
      <c r="Y32" s="134"/>
      <c r="Z32" s="134"/>
      <c r="AA32" s="134"/>
      <c r="AB32" s="209">
        <f t="shared" si="8"/>
        <v>0</v>
      </c>
      <c r="AD32" s="154"/>
    </row>
    <row r="33" spans="1:30" s="152" customFormat="1" x14ac:dyDescent="0.2">
      <c r="A33" s="161"/>
      <c r="B33" s="217" t="s">
        <v>92</v>
      </c>
      <c r="C33" s="205">
        <f>'Fee Calc 2018 '!S34</f>
        <v>5397.75</v>
      </c>
      <c r="D33" s="213"/>
      <c r="E33" s="221">
        <v>43168</v>
      </c>
      <c r="F33" s="222">
        <f t="shared" si="6"/>
        <v>42430</v>
      </c>
      <c r="G33" s="206"/>
      <c r="H33" s="223"/>
      <c r="I33" s="223"/>
      <c r="J33" s="223">
        <v>5397.75</v>
      </c>
      <c r="K33" s="223"/>
      <c r="L33" s="223"/>
      <c r="M33" s="223"/>
      <c r="N33" s="223"/>
      <c r="O33" s="223"/>
      <c r="P33" s="223"/>
      <c r="Q33" s="223"/>
      <c r="R33" s="223"/>
      <c r="S33" s="224"/>
      <c r="T33" s="210"/>
      <c r="U33" s="225">
        <f t="shared" si="9"/>
        <v>5397.75</v>
      </c>
      <c r="V33" s="224">
        <f t="shared" si="7"/>
        <v>5397.75</v>
      </c>
      <c r="W33" s="212"/>
      <c r="X33" s="223"/>
      <c r="Y33" s="223"/>
      <c r="Z33" s="223"/>
      <c r="AA33" s="223"/>
      <c r="AB33" s="224">
        <f t="shared" si="8"/>
        <v>0</v>
      </c>
      <c r="AD33" s="154"/>
    </row>
    <row r="34" spans="1:30" s="152" customFormat="1" ht="10.5" thickBot="1" x14ac:dyDescent="0.25">
      <c r="A34" s="161"/>
      <c r="B34" s="214" t="s">
        <v>93</v>
      </c>
      <c r="C34" s="215">
        <f>'Fee Calc 2018 '!S35</f>
        <v>62129.4563815</v>
      </c>
      <c r="D34" s="216"/>
      <c r="E34" s="218">
        <v>43153</v>
      </c>
      <c r="F34" s="219">
        <f t="shared" si="6"/>
        <v>42401</v>
      </c>
      <c r="G34" s="206"/>
      <c r="H34" s="220"/>
      <c r="I34" s="220">
        <v>62129.46</v>
      </c>
      <c r="J34" s="220"/>
      <c r="K34" s="220"/>
      <c r="L34" s="220"/>
      <c r="M34" s="220"/>
      <c r="N34" s="220"/>
      <c r="O34" s="220"/>
      <c r="P34" s="220"/>
      <c r="Q34" s="220"/>
      <c r="R34" s="220"/>
      <c r="S34" s="216"/>
      <c r="T34" s="210"/>
      <c r="U34" s="215">
        <f t="shared" si="9"/>
        <v>62129.46</v>
      </c>
      <c r="V34" s="216">
        <f t="shared" si="7"/>
        <v>62129.4563815</v>
      </c>
      <c r="W34" s="212"/>
      <c r="X34" s="220"/>
      <c r="Y34" s="220"/>
      <c r="Z34" s="220"/>
      <c r="AA34" s="220"/>
      <c r="AB34" s="216">
        <f t="shared" si="8"/>
        <v>0</v>
      </c>
      <c r="AD34" s="154"/>
    </row>
    <row r="35" spans="1:30" ht="10.5" thickBot="1" x14ac:dyDescent="0.25">
      <c r="A35" s="5"/>
      <c r="B35" s="5"/>
      <c r="C35" s="114">
        <f>SUM(C22:C34)</f>
        <v>112380.73247622636</v>
      </c>
      <c r="G35" s="161"/>
      <c r="H35" s="79">
        <f t="shared" ref="H35:S35" si="10">SUM(H22:H34)</f>
        <v>0</v>
      </c>
      <c r="I35" s="79">
        <f t="shared" si="10"/>
        <v>65610.259999999995</v>
      </c>
      <c r="J35" s="79">
        <f t="shared" si="10"/>
        <v>10095.76</v>
      </c>
      <c r="K35" s="79">
        <f t="shared" si="10"/>
        <v>799.86</v>
      </c>
      <c r="L35" s="79">
        <f t="shared" si="10"/>
        <v>19066.04</v>
      </c>
      <c r="M35" s="79">
        <f t="shared" si="10"/>
        <v>0</v>
      </c>
      <c r="N35" s="79">
        <f t="shared" si="10"/>
        <v>5000</v>
      </c>
      <c r="O35" s="79">
        <f t="shared" si="10"/>
        <v>0</v>
      </c>
      <c r="P35" s="79">
        <f t="shared" si="10"/>
        <v>0</v>
      </c>
      <c r="Q35" s="79">
        <f t="shared" si="10"/>
        <v>0</v>
      </c>
      <c r="R35" s="79">
        <f t="shared" si="10"/>
        <v>0</v>
      </c>
      <c r="S35" s="167">
        <f t="shared" si="10"/>
        <v>0</v>
      </c>
      <c r="T35" s="173"/>
      <c r="U35" s="163">
        <f>SUM(U22:U34)</f>
        <v>100571.91999999998</v>
      </c>
      <c r="V35" s="170">
        <f>SUM(V22:V34)</f>
        <v>112380.73247622636</v>
      </c>
      <c r="W35" s="159"/>
      <c r="X35" s="79">
        <f>SUM(X22:X34)</f>
        <v>0</v>
      </c>
      <c r="Y35" s="79">
        <f>SUM(Y22:Y34)</f>
        <v>0</v>
      </c>
      <c r="Z35" s="79">
        <f>SUM(Z22:Z34)</f>
        <v>0</v>
      </c>
      <c r="AA35" s="79">
        <f>SUM(AA22:AA34)</f>
        <v>0</v>
      </c>
      <c r="AB35" s="167">
        <f t="shared" si="5"/>
        <v>0</v>
      </c>
      <c r="AD35" s="145"/>
    </row>
    <row r="36" spans="1:30" ht="11" thickBot="1" x14ac:dyDescent="0.3">
      <c r="C36" s="204">
        <f>C19+C35</f>
        <v>121913.72012294976</v>
      </c>
      <c r="D36" s="24"/>
      <c r="G36" s="161"/>
      <c r="H36" s="85">
        <f t="shared" ref="H36:V36" si="11">H35+H19</f>
        <v>0</v>
      </c>
      <c r="I36" s="85">
        <f t="shared" si="11"/>
        <v>65610.259999999995</v>
      </c>
      <c r="J36" s="85">
        <f t="shared" si="11"/>
        <v>11454.34</v>
      </c>
      <c r="K36" s="85">
        <f t="shared" si="11"/>
        <v>1120.93</v>
      </c>
      <c r="L36" s="85">
        <f t="shared" si="11"/>
        <v>19539.91</v>
      </c>
      <c r="M36" s="85">
        <f>M35+M19</f>
        <v>0</v>
      </c>
      <c r="N36" s="85">
        <f t="shared" si="11"/>
        <v>6226.25</v>
      </c>
      <c r="O36" s="85">
        <f t="shared" si="11"/>
        <v>1856.25</v>
      </c>
      <c r="P36" s="85">
        <f t="shared" si="11"/>
        <v>0</v>
      </c>
      <c r="Q36" s="85">
        <f t="shared" si="11"/>
        <v>0</v>
      </c>
      <c r="R36" s="85">
        <f t="shared" si="11"/>
        <v>0</v>
      </c>
      <c r="S36" s="168">
        <f t="shared" si="11"/>
        <v>0</v>
      </c>
      <c r="T36" s="174"/>
      <c r="U36" s="172">
        <f>U35+U19</f>
        <v>105807.93999999999</v>
      </c>
      <c r="V36" s="168">
        <f t="shared" si="11"/>
        <v>124218.72012294976</v>
      </c>
      <c r="W36" s="159"/>
      <c r="X36" s="85">
        <f>X35+X19</f>
        <v>0</v>
      </c>
      <c r="Y36" s="85">
        <f>Y35+Y19</f>
        <v>485</v>
      </c>
      <c r="Z36" s="85">
        <f>Z35+Z19</f>
        <v>728</v>
      </c>
      <c r="AA36" s="85">
        <f>AA35+AA19</f>
        <v>1092</v>
      </c>
      <c r="AB36" s="168">
        <f t="shared" si="5"/>
        <v>2305</v>
      </c>
      <c r="AD36" s="145"/>
    </row>
    <row r="37" spans="1:30" ht="10.5" thickTop="1" x14ac:dyDescent="0.2">
      <c r="C37" s="202"/>
      <c r="W37" s="4"/>
    </row>
    <row r="38" spans="1:30" x14ac:dyDescent="0.2">
      <c r="W38" s="4"/>
    </row>
    <row r="39" spans="1:30" x14ac:dyDescent="0.2">
      <c r="W39" s="4"/>
    </row>
    <row r="40" spans="1:30" x14ac:dyDescent="0.2">
      <c r="W40" s="4"/>
    </row>
    <row r="41" spans="1:30" x14ac:dyDescent="0.2">
      <c r="W41" s="4"/>
    </row>
    <row r="42" spans="1:30" x14ac:dyDescent="0.2">
      <c r="W42" s="4"/>
    </row>
  </sheetData>
  <pageMargins left="0.7" right="0.7" top="0.75" bottom="0.75" header="0.3" footer="0.3"/>
  <pageSetup paperSize="9" orientation="portrait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D42"/>
  <sheetViews>
    <sheetView workbookViewId="0">
      <selection activeCell="B16" sqref="B16"/>
    </sheetView>
  </sheetViews>
  <sheetFormatPr defaultColWidth="9.1796875" defaultRowHeight="10" x14ac:dyDescent="0.2"/>
  <cols>
    <col min="1" max="1" width="11.26953125" style="1" bestFit="1" customWidth="1"/>
    <col min="2" max="2" width="20.1796875" style="1" bestFit="1" customWidth="1"/>
    <col min="3" max="3" width="12.7265625" style="52" bestFit="1" customWidth="1"/>
    <col min="4" max="4" width="1.7265625" style="4" customWidth="1"/>
    <col min="5" max="5" width="11.26953125" style="1" bestFit="1" customWidth="1"/>
    <col min="6" max="6" width="10.7265625" style="1" customWidth="1"/>
    <col min="7" max="7" width="1.54296875" style="4" customWidth="1"/>
    <col min="8" max="19" width="9" style="1" bestFit="1" customWidth="1"/>
    <col min="20" max="20" width="1.7265625" style="4" customWidth="1"/>
    <col min="21" max="21" width="12.7265625" style="1" bestFit="1" customWidth="1"/>
    <col min="22" max="22" width="13" style="1" bestFit="1" customWidth="1"/>
    <col min="23" max="23" width="1.54296875" style="5" customWidth="1"/>
    <col min="24" max="28" width="9" style="1" bestFit="1" customWidth="1"/>
    <col min="29" max="29" width="1.54296875" style="1" customWidth="1"/>
    <col min="30" max="30" width="65" style="143" customWidth="1"/>
    <col min="31" max="31" width="9.1796875" style="1"/>
    <col min="32" max="32" width="11.26953125" style="1" bestFit="1" customWidth="1"/>
    <col min="33" max="16384" width="9.1796875" style="1"/>
  </cols>
  <sheetData>
    <row r="2" spans="1:30" x14ac:dyDescent="0.2">
      <c r="A2" s="3" t="s">
        <v>49</v>
      </c>
    </row>
    <row r="3" spans="1:30" x14ac:dyDescent="0.2">
      <c r="A3" s="6" t="s">
        <v>50</v>
      </c>
    </row>
    <row r="4" spans="1:30" x14ac:dyDescent="0.2">
      <c r="U4" s="7"/>
      <c r="V4" s="7"/>
      <c r="X4" s="1" t="s">
        <v>51</v>
      </c>
    </row>
    <row r="5" spans="1:30" ht="11" thickBot="1" x14ac:dyDescent="0.3">
      <c r="A5" s="8" t="s">
        <v>52</v>
      </c>
      <c r="B5" s="9"/>
      <c r="C5" s="10">
        <v>2017</v>
      </c>
      <c r="E5" s="11" t="s">
        <v>54</v>
      </c>
      <c r="F5" s="12" t="s">
        <v>55</v>
      </c>
      <c r="H5" s="13">
        <v>42005</v>
      </c>
      <c r="I5" s="13">
        <v>42036</v>
      </c>
      <c r="J5" s="13">
        <v>42064</v>
      </c>
      <c r="K5" s="13">
        <v>42095</v>
      </c>
      <c r="L5" s="13">
        <v>42125</v>
      </c>
      <c r="M5" s="13">
        <v>42156</v>
      </c>
      <c r="N5" s="13">
        <v>42186</v>
      </c>
      <c r="O5" s="13">
        <v>42217</v>
      </c>
      <c r="P5" s="13">
        <v>42248</v>
      </c>
      <c r="Q5" s="13">
        <v>42278</v>
      </c>
      <c r="R5" s="13">
        <v>42309</v>
      </c>
      <c r="S5" s="13">
        <v>42339</v>
      </c>
      <c r="T5" s="14"/>
      <c r="U5" s="15" t="s">
        <v>124</v>
      </c>
      <c r="V5" s="15" t="s">
        <v>57</v>
      </c>
      <c r="X5" s="13" t="s">
        <v>58</v>
      </c>
      <c r="Y5" s="13" t="s">
        <v>59</v>
      </c>
      <c r="Z5" s="13" t="s">
        <v>60</v>
      </c>
      <c r="AA5" s="13" t="s">
        <v>53</v>
      </c>
      <c r="AB5" s="13" t="s">
        <v>10</v>
      </c>
      <c r="AD5" s="144" t="s">
        <v>61</v>
      </c>
    </row>
    <row r="6" spans="1:30" x14ac:dyDescent="0.2">
      <c r="B6" s="128" t="s">
        <v>62</v>
      </c>
      <c r="C6" s="129">
        <v>410.33</v>
      </c>
      <c r="D6" s="130"/>
      <c r="E6" s="131">
        <v>42821</v>
      </c>
      <c r="F6" s="132">
        <f>IFERROR(DATE(2016,MONTH(E6),1),"")</f>
        <v>42430</v>
      </c>
      <c r="G6" s="130"/>
      <c r="H6" s="134">
        <f t="shared" ref="H6:S11" si="0">IF(H$5=$F6,$C6,0)</f>
        <v>0</v>
      </c>
      <c r="I6" s="134">
        <f t="shared" si="0"/>
        <v>0</v>
      </c>
      <c r="J6" s="134">
        <v>410.33</v>
      </c>
      <c r="K6" s="134">
        <f t="shared" si="0"/>
        <v>0</v>
      </c>
      <c r="L6" s="134">
        <f t="shared" si="0"/>
        <v>0</v>
      </c>
      <c r="M6" s="134">
        <f t="shared" si="0"/>
        <v>0</v>
      </c>
      <c r="N6" s="134">
        <f t="shared" si="0"/>
        <v>0</v>
      </c>
      <c r="O6" s="134">
        <f t="shared" si="0"/>
        <v>0</v>
      </c>
      <c r="P6" s="134">
        <f t="shared" si="0"/>
        <v>0</v>
      </c>
      <c r="Q6" s="134">
        <f t="shared" si="0"/>
        <v>0</v>
      </c>
      <c r="R6" s="134">
        <f t="shared" si="0"/>
        <v>0</v>
      </c>
      <c r="S6" s="134">
        <f t="shared" si="0"/>
        <v>0</v>
      </c>
      <c r="T6" s="136"/>
      <c r="U6" s="133">
        <f t="shared" ref="U6:U18" si="1">SUM(H6:T6)</f>
        <v>410.33</v>
      </c>
      <c r="V6" s="135">
        <v>410.33</v>
      </c>
      <c r="W6" s="130"/>
      <c r="X6" s="134"/>
      <c r="Y6" s="134"/>
      <c r="Z6" s="134"/>
      <c r="AA6" s="134"/>
      <c r="AB6" s="134">
        <f>SUM(X6:AA6)</f>
        <v>0</v>
      </c>
    </row>
    <row r="7" spans="1:30" x14ac:dyDescent="0.2">
      <c r="B7" s="128" t="s">
        <v>63</v>
      </c>
      <c r="C7" s="129">
        <v>125.32</v>
      </c>
      <c r="D7" s="130"/>
      <c r="E7" s="131">
        <v>42978</v>
      </c>
      <c r="F7" s="132">
        <f t="shared" ref="F7:F18" si="2">IFERROR(DATE(2016,MONTH(E7),1),"")</f>
        <v>42583</v>
      </c>
      <c r="G7" s="130"/>
      <c r="H7" s="134">
        <f t="shared" si="0"/>
        <v>0</v>
      </c>
      <c r="I7" s="134">
        <f t="shared" si="0"/>
        <v>0</v>
      </c>
      <c r="J7" s="134">
        <f t="shared" si="0"/>
        <v>0</v>
      </c>
      <c r="K7" s="134">
        <f t="shared" si="0"/>
        <v>0</v>
      </c>
      <c r="L7" s="134">
        <f t="shared" si="0"/>
        <v>0</v>
      </c>
      <c r="M7" s="134">
        <f t="shared" si="0"/>
        <v>0</v>
      </c>
      <c r="N7" s="134">
        <f t="shared" si="0"/>
        <v>0</v>
      </c>
      <c r="O7" s="134">
        <v>125.32</v>
      </c>
      <c r="P7" s="134">
        <f t="shared" si="0"/>
        <v>0</v>
      </c>
      <c r="Q7" s="134">
        <f t="shared" si="0"/>
        <v>0</v>
      </c>
      <c r="R7" s="134">
        <f t="shared" si="0"/>
        <v>0</v>
      </c>
      <c r="S7" s="134">
        <f t="shared" si="0"/>
        <v>0</v>
      </c>
      <c r="T7" s="136"/>
      <c r="U7" s="133">
        <f t="shared" si="1"/>
        <v>125.32</v>
      </c>
      <c r="V7" s="135"/>
      <c r="W7" s="130"/>
      <c r="X7" s="134"/>
      <c r="Y7" s="134"/>
      <c r="Z7" s="134"/>
      <c r="AA7" s="134"/>
      <c r="AB7" s="134">
        <f t="shared" ref="AB7:AB18" si="3">SUM(X7:AA7)</f>
        <v>0</v>
      </c>
    </row>
    <row r="8" spans="1:30" x14ac:dyDescent="0.2">
      <c r="B8" s="128" t="s">
        <v>64</v>
      </c>
      <c r="C8" s="129">
        <v>1855.58</v>
      </c>
      <c r="D8" s="130"/>
      <c r="E8" s="131">
        <v>42949</v>
      </c>
      <c r="F8" s="132">
        <f t="shared" si="2"/>
        <v>42583</v>
      </c>
      <c r="G8" s="130"/>
      <c r="H8" s="134">
        <f t="shared" si="0"/>
        <v>0</v>
      </c>
      <c r="I8" s="134">
        <f t="shared" si="0"/>
        <v>0</v>
      </c>
      <c r="J8" s="134">
        <f t="shared" si="0"/>
        <v>0</v>
      </c>
      <c r="K8" s="134">
        <f t="shared" si="0"/>
        <v>0</v>
      </c>
      <c r="L8" s="134">
        <f t="shared" si="0"/>
        <v>0</v>
      </c>
      <c r="M8" s="134">
        <f t="shared" si="0"/>
        <v>0</v>
      </c>
      <c r="N8" s="134">
        <f t="shared" si="0"/>
        <v>0</v>
      </c>
      <c r="O8" s="134">
        <v>1240</v>
      </c>
      <c r="P8" s="134">
        <f t="shared" si="0"/>
        <v>0</v>
      </c>
      <c r="Q8" s="134">
        <f t="shared" si="0"/>
        <v>0</v>
      </c>
      <c r="R8" s="134">
        <f t="shared" si="0"/>
        <v>0</v>
      </c>
      <c r="S8" s="134">
        <v>615.58000000000004</v>
      </c>
      <c r="T8" s="136"/>
      <c r="U8" s="133">
        <f t="shared" si="1"/>
        <v>1855.58</v>
      </c>
      <c r="V8" s="135">
        <v>1855.58</v>
      </c>
      <c r="W8" s="130"/>
      <c r="X8" s="134"/>
      <c r="Y8" s="134"/>
      <c r="Z8" s="134">
        <v>0</v>
      </c>
      <c r="AA8" s="134"/>
      <c r="AB8" s="134">
        <f t="shared" si="3"/>
        <v>0</v>
      </c>
    </row>
    <row r="9" spans="1:30" x14ac:dyDescent="0.2">
      <c r="B9" s="128" t="s">
        <v>65</v>
      </c>
      <c r="C9" s="129">
        <v>194.88</v>
      </c>
      <c r="D9" s="130"/>
      <c r="E9" s="131">
        <v>42943</v>
      </c>
      <c r="F9" s="132">
        <f t="shared" si="2"/>
        <v>42552</v>
      </c>
      <c r="G9" s="130"/>
      <c r="H9" s="134">
        <f t="shared" si="0"/>
        <v>0</v>
      </c>
      <c r="I9" s="134">
        <f t="shared" si="0"/>
        <v>0</v>
      </c>
      <c r="J9" s="134">
        <f t="shared" si="0"/>
        <v>0</v>
      </c>
      <c r="K9" s="134">
        <f t="shared" si="0"/>
        <v>0</v>
      </c>
      <c r="L9" s="134">
        <f t="shared" si="0"/>
        <v>0</v>
      </c>
      <c r="M9" s="134">
        <f t="shared" si="0"/>
        <v>0</v>
      </c>
      <c r="N9" s="134">
        <v>194.88</v>
      </c>
      <c r="O9" s="134">
        <f t="shared" si="0"/>
        <v>0</v>
      </c>
      <c r="P9" s="134">
        <f t="shared" si="0"/>
        <v>0</v>
      </c>
      <c r="Q9" s="134">
        <f t="shared" si="0"/>
        <v>0</v>
      </c>
      <c r="R9" s="134">
        <f t="shared" si="0"/>
        <v>0</v>
      </c>
      <c r="S9" s="134">
        <f t="shared" si="0"/>
        <v>0</v>
      </c>
      <c r="T9" s="136"/>
      <c r="U9" s="133">
        <f t="shared" si="1"/>
        <v>194.88</v>
      </c>
      <c r="V9" s="135"/>
      <c r="W9" s="130"/>
      <c r="X9" s="134"/>
      <c r="Y9" s="134"/>
      <c r="Z9" s="134"/>
      <c r="AA9" s="134"/>
      <c r="AB9" s="134">
        <f t="shared" si="3"/>
        <v>0</v>
      </c>
      <c r="AD9" s="145"/>
    </row>
    <row r="10" spans="1:30" x14ac:dyDescent="0.2">
      <c r="B10" s="128" t="s">
        <v>66</v>
      </c>
      <c r="C10" s="129">
        <v>79.5</v>
      </c>
      <c r="D10" s="130"/>
      <c r="E10" s="131">
        <v>42915</v>
      </c>
      <c r="F10" s="132">
        <f t="shared" si="2"/>
        <v>42522</v>
      </c>
      <c r="G10" s="130"/>
      <c r="H10" s="134">
        <f t="shared" si="0"/>
        <v>0</v>
      </c>
      <c r="I10" s="134">
        <f t="shared" si="0"/>
        <v>0</v>
      </c>
      <c r="J10" s="134">
        <f t="shared" si="0"/>
        <v>0</v>
      </c>
      <c r="K10" s="134">
        <f t="shared" si="0"/>
        <v>0</v>
      </c>
      <c r="L10" s="134">
        <f t="shared" si="0"/>
        <v>0</v>
      </c>
      <c r="M10" s="134">
        <v>79.5</v>
      </c>
      <c r="N10" s="134">
        <f t="shared" si="0"/>
        <v>0</v>
      </c>
      <c r="O10" s="134">
        <f t="shared" si="0"/>
        <v>0</v>
      </c>
      <c r="P10" s="134">
        <f t="shared" si="0"/>
        <v>0</v>
      </c>
      <c r="Q10" s="134">
        <f t="shared" si="0"/>
        <v>0</v>
      </c>
      <c r="R10" s="134">
        <f t="shared" si="0"/>
        <v>0</v>
      </c>
      <c r="S10" s="134">
        <f t="shared" si="0"/>
        <v>0</v>
      </c>
      <c r="T10" s="136"/>
      <c r="U10" s="133">
        <f t="shared" si="1"/>
        <v>79.5</v>
      </c>
      <c r="V10" s="135">
        <v>79.5</v>
      </c>
      <c r="W10" s="130"/>
      <c r="X10" s="134"/>
      <c r="Y10" s="134"/>
      <c r="Z10" s="134"/>
      <c r="AA10" s="134"/>
      <c r="AB10" s="134">
        <f t="shared" si="3"/>
        <v>0</v>
      </c>
      <c r="AD10" s="145"/>
    </row>
    <row r="11" spans="1:30" x14ac:dyDescent="0.2">
      <c r="B11" s="128" t="s">
        <v>67</v>
      </c>
      <c r="C11" s="129">
        <v>540.96</v>
      </c>
      <c r="D11" s="130"/>
      <c r="E11" s="131">
        <v>42976</v>
      </c>
      <c r="F11" s="132">
        <f t="shared" si="2"/>
        <v>42583</v>
      </c>
      <c r="G11" s="130"/>
      <c r="H11" s="134">
        <f t="shared" si="0"/>
        <v>0</v>
      </c>
      <c r="I11" s="134">
        <f t="shared" si="0"/>
        <v>0</v>
      </c>
      <c r="J11" s="134">
        <f t="shared" si="0"/>
        <v>0</v>
      </c>
      <c r="K11" s="134">
        <f t="shared" si="0"/>
        <v>0</v>
      </c>
      <c r="L11" s="134">
        <f t="shared" si="0"/>
        <v>0</v>
      </c>
      <c r="M11" s="134">
        <f t="shared" si="0"/>
        <v>0</v>
      </c>
      <c r="N11" s="134">
        <f t="shared" si="0"/>
        <v>0</v>
      </c>
      <c r="O11" s="134">
        <v>540.96</v>
      </c>
      <c r="P11" s="134">
        <f t="shared" si="0"/>
        <v>0</v>
      </c>
      <c r="Q11" s="134">
        <f t="shared" si="0"/>
        <v>0</v>
      </c>
      <c r="R11" s="134">
        <f t="shared" si="0"/>
        <v>0</v>
      </c>
      <c r="S11" s="134">
        <f t="shared" si="0"/>
        <v>0</v>
      </c>
      <c r="T11" s="136"/>
      <c r="U11" s="133">
        <f t="shared" si="1"/>
        <v>540.96</v>
      </c>
      <c r="V11" s="135"/>
      <c r="W11" s="130"/>
      <c r="X11" s="134"/>
      <c r="Y11" s="134"/>
      <c r="Z11" s="134"/>
      <c r="AA11" s="134"/>
      <c r="AB11" s="134">
        <f t="shared" si="3"/>
        <v>0</v>
      </c>
      <c r="AD11" s="145"/>
    </row>
    <row r="12" spans="1:30" x14ac:dyDescent="0.2">
      <c r="B12" s="128" t="s">
        <v>68</v>
      </c>
      <c r="C12" s="129">
        <v>249.65</v>
      </c>
      <c r="D12" s="130"/>
      <c r="E12" s="131">
        <v>42815</v>
      </c>
      <c r="F12" s="132">
        <f t="shared" si="2"/>
        <v>42430</v>
      </c>
      <c r="G12" s="130"/>
      <c r="H12" s="134">
        <v>0</v>
      </c>
      <c r="I12" s="134">
        <f t="shared" ref="I12:S18" si="4">IF(I$5=$F12,$C12,0)</f>
        <v>0</v>
      </c>
      <c r="J12" s="134">
        <v>249.65</v>
      </c>
      <c r="K12" s="134">
        <f t="shared" si="4"/>
        <v>0</v>
      </c>
      <c r="L12" s="134">
        <f t="shared" si="4"/>
        <v>0</v>
      </c>
      <c r="M12" s="134">
        <f t="shared" si="4"/>
        <v>0</v>
      </c>
      <c r="N12" s="134">
        <f t="shared" si="4"/>
        <v>0</v>
      </c>
      <c r="O12" s="134">
        <f t="shared" si="4"/>
        <v>0</v>
      </c>
      <c r="P12" s="134">
        <f t="shared" si="4"/>
        <v>0</v>
      </c>
      <c r="Q12" s="134">
        <f t="shared" si="4"/>
        <v>0</v>
      </c>
      <c r="R12" s="134">
        <f t="shared" si="4"/>
        <v>0</v>
      </c>
      <c r="S12" s="134">
        <f t="shared" si="4"/>
        <v>0</v>
      </c>
      <c r="T12" s="136"/>
      <c r="U12" s="133">
        <f t="shared" si="1"/>
        <v>249.65</v>
      </c>
      <c r="V12" s="135"/>
      <c r="W12" s="130"/>
      <c r="X12" s="134"/>
      <c r="Y12" s="134"/>
      <c r="Z12" s="134"/>
      <c r="AA12" s="134"/>
      <c r="AB12" s="134">
        <f t="shared" si="3"/>
        <v>0</v>
      </c>
      <c r="AD12" s="145"/>
    </row>
    <row r="13" spans="1:30" x14ac:dyDescent="0.2">
      <c r="B13" s="128" t="s">
        <v>69</v>
      </c>
      <c r="C13" s="129">
        <v>957.9</v>
      </c>
      <c r="D13" s="130"/>
      <c r="E13" s="131">
        <v>42796</v>
      </c>
      <c r="F13" s="132">
        <f t="shared" si="2"/>
        <v>42430</v>
      </c>
      <c r="G13" s="130"/>
      <c r="H13" s="134">
        <f t="shared" ref="H13:H18" si="5">IF(H$5=$F13,$C13,0)</f>
        <v>0</v>
      </c>
      <c r="I13" s="134">
        <f t="shared" si="4"/>
        <v>0</v>
      </c>
      <c r="J13" s="134">
        <v>957.9</v>
      </c>
      <c r="K13" s="134">
        <f t="shared" si="4"/>
        <v>0</v>
      </c>
      <c r="L13" s="134">
        <f t="shared" si="4"/>
        <v>0</v>
      </c>
      <c r="M13" s="134">
        <f t="shared" si="4"/>
        <v>0</v>
      </c>
      <c r="N13" s="134">
        <f t="shared" si="4"/>
        <v>0</v>
      </c>
      <c r="O13" s="134">
        <f t="shared" si="4"/>
        <v>0</v>
      </c>
      <c r="P13" s="134">
        <f t="shared" si="4"/>
        <v>0</v>
      </c>
      <c r="Q13" s="134">
        <f t="shared" si="4"/>
        <v>0</v>
      </c>
      <c r="R13" s="134">
        <f t="shared" si="4"/>
        <v>0</v>
      </c>
      <c r="S13" s="134">
        <f t="shared" si="4"/>
        <v>0</v>
      </c>
      <c r="T13" s="136"/>
      <c r="U13" s="133">
        <f t="shared" si="1"/>
        <v>957.9</v>
      </c>
      <c r="V13" s="135">
        <v>957.9</v>
      </c>
      <c r="W13" s="130"/>
      <c r="X13" s="134"/>
      <c r="Y13" s="134"/>
      <c r="Z13" s="134"/>
      <c r="AA13" s="134"/>
      <c r="AB13" s="134">
        <f t="shared" si="3"/>
        <v>0</v>
      </c>
      <c r="AD13" s="145"/>
    </row>
    <row r="14" spans="1:30" x14ac:dyDescent="0.2">
      <c r="B14" s="128" t="s">
        <v>70</v>
      </c>
      <c r="C14" s="129">
        <v>196</v>
      </c>
      <c r="D14" s="130"/>
      <c r="E14" s="131">
        <v>42935</v>
      </c>
      <c r="F14" s="132">
        <f t="shared" si="2"/>
        <v>42552</v>
      </c>
      <c r="G14" s="130"/>
      <c r="H14" s="134">
        <f t="shared" si="5"/>
        <v>0</v>
      </c>
      <c r="I14" s="134">
        <f t="shared" si="4"/>
        <v>0</v>
      </c>
      <c r="J14" s="134">
        <f t="shared" si="4"/>
        <v>0</v>
      </c>
      <c r="K14" s="134">
        <f t="shared" si="4"/>
        <v>0</v>
      </c>
      <c r="L14" s="134">
        <f t="shared" si="4"/>
        <v>0</v>
      </c>
      <c r="M14" s="134">
        <f t="shared" si="4"/>
        <v>0</v>
      </c>
      <c r="N14" s="134">
        <v>196</v>
      </c>
      <c r="O14" s="134">
        <f t="shared" si="4"/>
        <v>0</v>
      </c>
      <c r="P14" s="134">
        <f t="shared" si="4"/>
        <v>0</v>
      </c>
      <c r="Q14" s="134">
        <f t="shared" si="4"/>
        <v>0</v>
      </c>
      <c r="R14" s="134">
        <f t="shared" si="4"/>
        <v>0</v>
      </c>
      <c r="S14" s="134">
        <f t="shared" si="4"/>
        <v>0</v>
      </c>
      <c r="T14" s="136"/>
      <c r="U14" s="133">
        <f t="shared" si="1"/>
        <v>196</v>
      </c>
      <c r="V14" s="135"/>
      <c r="W14" s="130"/>
      <c r="X14" s="134"/>
      <c r="Y14" s="134"/>
      <c r="Z14" s="134"/>
      <c r="AA14" s="134"/>
      <c r="AB14" s="134">
        <f t="shared" si="3"/>
        <v>0</v>
      </c>
      <c r="AD14" s="145"/>
    </row>
    <row r="15" spans="1:30" x14ac:dyDescent="0.2">
      <c r="B15" s="128" t="s">
        <v>71</v>
      </c>
      <c r="C15" s="129">
        <v>1119.8499999999999</v>
      </c>
      <c r="D15" s="130"/>
      <c r="E15" s="131">
        <v>42972</v>
      </c>
      <c r="F15" s="132">
        <f t="shared" si="2"/>
        <v>42583</v>
      </c>
      <c r="G15" s="130"/>
      <c r="H15" s="134">
        <f t="shared" si="5"/>
        <v>0</v>
      </c>
      <c r="I15" s="134">
        <f t="shared" si="4"/>
        <v>0</v>
      </c>
      <c r="J15" s="134">
        <f t="shared" si="4"/>
        <v>0</v>
      </c>
      <c r="K15" s="134">
        <f t="shared" si="4"/>
        <v>0</v>
      </c>
      <c r="L15" s="134">
        <v>0</v>
      </c>
      <c r="M15" s="134">
        <f t="shared" si="4"/>
        <v>0</v>
      </c>
      <c r="N15" s="134">
        <f t="shared" si="4"/>
        <v>0</v>
      </c>
      <c r="O15" s="134">
        <v>1119.8499999999999</v>
      </c>
      <c r="P15" s="134">
        <f t="shared" si="4"/>
        <v>0</v>
      </c>
      <c r="Q15" s="134">
        <f t="shared" si="4"/>
        <v>0</v>
      </c>
      <c r="R15" s="134">
        <f t="shared" si="4"/>
        <v>0</v>
      </c>
      <c r="S15" s="134">
        <f t="shared" si="4"/>
        <v>0</v>
      </c>
      <c r="T15" s="136"/>
      <c r="U15" s="133">
        <f t="shared" si="1"/>
        <v>1119.8499999999999</v>
      </c>
      <c r="V15" s="135">
        <v>1119.8499999999999</v>
      </c>
      <c r="W15" s="130"/>
      <c r="X15" s="134"/>
      <c r="Y15" s="134"/>
      <c r="Z15" s="134"/>
      <c r="AA15" s="134"/>
      <c r="AB15" s="134">
        <f t="shared" si="3"/>
        <v>0</v>
      </c>
      <c r="AD15" s="145"/>
    </row>
    <row r="16" spans="1:30" x14ac:dyDescent="0.2">
      <c r="B16" s="124" t="s">
        <v>72</v>
      </c>
      <c r="C16" s="125">
        <v>1092</v>
      </c>
      <c r="E16" s="38"/>
      <c r="F16" s="123">
        <f t="shared" si="2"/>
        <v>42370</v>
      </c>
      <c r="H16" s="41">
        <f t="shared" si="5"/>
        <v>0</v>
      </c>
      <c r="I16" s="41">
        <f t="shared" si="4"/>
        <v>0</v>
      </c>
      <c r="J16" s="41">
        <f t="shared" si="4"/>
        <v>0</v>
      </c>
      <c r="K16" s="41">
        <f t="shared" si="4"/>
        <v>0</v>
      </c>
      <c r="L16" s="41">
        <f>IF(L$5=$F16,$C16,0)</f>
        <v>0</v>
      </c>
      <c r="M16" s="41">
        <f t="shared" si="4"/>
        <v>0</v>
      </c>
      <c r="N16" s="41">
        <f t="shared" si="4"/>
        <v>0</v>
      </c>
      <c r="O16" s="41">
        <f t="shared" si="4"/>
        <v>0</v>
      </c>
      <c r="P16" s="41">
        <f t="shared" si="4"/>
        <v>0</v>
      </c>
      <c r="Q16" s="41">
        <f t="shared" si="4"/>
        <v>0</v>
      </c>
      <c r="R16" s="41">
        <f t="shared" si="4"/>
        <v>0</v>
      </c>
      <c r="S16" s="41">
        <f t="shared" si="4"/>
        <v>0</v>
      </c>
      <c r="T16" s="24"/>
      <c r="U16" s="40">
        <f t="shared" si="1"/>
        <v>0</v>
      </c>
      <c r="V16" s="42">
        <f>C16+AB16</f>
        <v>2305</v>
      </c>
      <c r="W16" s="4"/>
      <c r="X16" s="41"/>
      <c r="Y16" s="41"/>
      <c r="Z16" s="41">
        <v>485</v>
      </c>
      <c r="AA16" s="41">
        <v>728</v>
      </c>
      <c r="AB16" s="41">
        <f>SUM(X16:AA16)</f>
        <v>1213</v>
      </c>
      <c r="AD16" s="145"/>
    </row>
    <row r="17" spans="1:30" x14ac:dyDescent="0.2">
      <c r="B17" s="128" t="s">
        <v>75</v>
      </c>
      <c r="C17" s="129">
        <v>1237.5</v>
      </c>
      <c r="D17" s="130"/>
      <c r="E17" s="131">
        <v>43000</v>
      </c>
      <c r="F17" s="132">
        <f t="shared" si="2"/>
        <v>42614</v>
      </c>
      <c r="G17" s="130"/>
      <c r="H17" s="134">
        <f t="shared" si="5"/>
        <v>0</v>
      </c>
      <c r="I17" s="134">
        <f t="shared" si="4"/>
        <v>0</v>
      </c>
      <c r="J17" s="134">
        <f t="shared" si="4"/>
        <v>0</v>
      </c>
      <c r="K17" s="134">
        <f t="shared" si="4"/>
        <v>0</v>
      </c>
      <c r="L17" s="134">
        <f>IF(L$5=$F17,$C17,0)</f>
        <v>0</v>
      </c>
      <c r="M17" s="134">
        <f t="shared" si="4"/>
        <v>0</v>
      </c>
      <c r="N17" s="134">
        <f t="shared" si="4"/>
        <v>0</v>
      </c>
      <c r="O17" s="134">
        <f t="shared" si="4"/>
        <v>0</v>
      </c>
      <c r="P17" s="134">
        <v>1237.5</v>
      </c>
      <c r="Q17" s="134">
        <f t="shared" si="4"/>
        <v>0</v>
      </c>
      <c r="R17" s="134">
        <f t="shared" si="4"/>
        <v>0</v>
      </c>
      <c r="S17" s="134">
        <f t="shared" si="4"/>
        <v>0</v>
      </c>
      <c r="T17" s="136"/>
      <c r="U17" s="133">
        <f t="shared" si="1"/>
        <v>1237.5</v>
      </c>
      <c r="V17" s="135">
        <f>C17</f>
        <v>1237.5</v>
      </c>
      <c r="W17" s="130"/>
      <c r="X17" s="134"/>
      <c r="Y17" s="134"/>
      <c r="Z17" s="134"/>
      <c r="AA17" s="134"/>
      <c r="AB17" s="134">
        <f t="shared" si="3"/>
        <v>0</v>
      </c>
      <c r="AD17" s="145"/>
    </row>
    <row r="18" spans="1:30" x14ac:dyDescent="0.2">
      <c r="B18" s="128" t="s">
        <v>76</v>
      </c>
      <c r="C18" s="129">
        <v>817.5</v>
      </c>
      <c r="D18" s="130"/>
      <c r="E18" s="131">
        <v>42983</v>
      </c>
      <c r="F18" s="132">
        <f t="shared" si="2"/>
        <v>42614</v>
      </c>
      <c r="G18" s="130"/>
      <c r="H18" s="134">
        <f t="shared" si="5"/>
        <v>0</v>
      </c>
      <c r="I18" s="134">
        <f t="shared" si="4"/>
        <v>0</v>
      </c>
      <c r="J18" s="134">
        <f t="shared" si="4"/>
        <v>0</v>
      </c>
      <c r="K18" s="134">
        <f t="shared" si="4"/>
        <v>0</v>
      </c>
      <c r="L18" s="134">
        <f>IF(L$5=$F18,$C18,0)</f>
        <v>0</v>
      </c>
      <c r="M18" s="134">
        <f t="shared" si="4"/>
        <v>0</v>
      </c>
      <c r="N18" s="134">
        <f t="shared" si="4"/>
        <v>0</v>
      </c>
      <c r="O18" s="134">
        <f t="shared" si="4"/>
        <v>0</v>
      </c>
      <c r="P18" s="134">
        <v>817.5</v>
      </c>
      <c r="Q18" s="134">
        <f t="shared" si="4"/>
        <v>0</v>
      </c>
      <c r="R18" s="134">
        <f t="shared" si="4"/>
        <v>0</v>
      </c>
      <c r="S18" s="134">
        <f t="shared" si="4"/>
        <v>0</v>
      </c>
      <c r="T18" s="136"/>
      <c r="U18" s="133">
        <f t="shared" si="1"/>
        <v>817.5</v>
      </c>
      <c r="V18" s="135">
        <v>817.5</v>
      </c>
      <c r="W18" s="130"/>
      <c r="X18" s="134"/>
      <c r="Y18" s="134"/>
      <c r="Z18" s="134"/>
      <c r="AA18" s="134"/>
      <c r="AB18" s="134">
        <f t="shared" si="3"/>
        <v>0</v>
      </c>
      <c r="AD18" s="145"/>
    </row>
    <row r="19" spans="1:30" ht="10.5" thickBot="1" x14ac:dyDescent="0.25">
      <c r="C19" s="126">
        <f>SUM(C6:C18)</f>
        <v>8876.9699999999993</v>
      </c>
      <c r="E19" s="52"/>
      <c r="F19" s="53"/>
      <c r="H19" s="51">
        <f t="shared" ref="H19:S19" si="6">SUM(H6:H18)</f>
        <v>0</v>
      </c>
      <c r="I19" s="51">
        <f t="shared" si="6"/>
        <v>0</v>
      </c>
      <c r="J19" s="51">
        <f t="shared" si="6"/>
        <v>1617.88</v>
      </c>
      <c r="K19" s="51">
        <f t="shared" si="6"/>
        <v>0</v>
      </c>
      <c r="L19" s="51">
        <f t="shared" si="6"/>
        <v>0</v>
      </c>
      <c r="M19" s="51">
        <f t="shared" si="6"/>
        <v>79.5</v>
      </c>
      <c r="N19" s="51">
        <f t="shared" si="6"/>
        <v>390.88</v>
      </c>
      <c r="O19" s="51">
        <f t="shared" si="6"/>
        <v>3026.13</v>
      </c>
      <c r="P19" s="51">
        <f t="shared" si="6"/>
        <v>2055</v>
      </c>
      <c r="Q19" s="51">
        <f t="shared" si="6"/>
        <v>0</v>
      </c>
      <c r="R19" s="51">
        <f t="shared" si="6"/>
        <v>0</v>
      </c>
      <c r="S19" s="51">
        <f t="shared" si="6"/>
        <v>615.58000000000004</v>
      </c>
      <c r="U19" s="54">
        <f>SUM(U6:U18)</f>
        <v>7784.9699999999993</v>
      </c>
      <c r="V19" s="55">
        <f>SUM(V6:V18)</f>
        <v>8783.16</v>
      </c>
      <c r="W19" s="4"/>
      <c r="X19" s="51">
        <f>SUM(X6:X18)</f>
        <v>0</v>
      </c>
      <c r="Y19" s="51">
        <f>SUM(Y6:Y18)</f>
        <v>0</v>
      </c>
      <c r="Z19" s="51">
        <f>SUM(Z6:Z18)</f>
        <v>485</v>
      </c>
      <c r="AA19" s="51">
        <f>SUM(AA6:AA18)</f>
        <v>728</v>
      </c>
      <c r="AB19" s="51">
        <f t="shared" ref="AB19:AB36" si="7">SUM(X19:AA19)</f>
        <v>1213</v>
      </c>
      <c r="AD19" s="145"/>
    </row>
    <row r="20" spans="1:30" x14ac:dyDescent="0.2">
      <c r="C20" s="108"/>
      <c r="D20" s="24"/>
      <c r="E20" s="52"/>
      <c r="F20" s="53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4"/>
      <c r="U20" s="59"/>
      <c r="V20" s="59"/>
      <c r="W20" s="4"/>
      <c r="X20" s="2"/>
      <c r="Y20" s="2"/>
      <c r="Z20" s="2"/>
      <c r="AA20" s="2"/>
      <c r="AB20" s="2"/>
      <c r="AC20" s="5"/>
      <c r="AD20" s="146"/>
    </row>
    <row r="21" spans="1:30" ht="11" thickBot="1" x14ac:dyDescent="0.3">
      <c r="A21" s="8" t="s">
        <v>77</v>
      </c>
      <c r="B21" s="9"/>
      <c r="C21" s="126"/>
      <c r="D21" s="24"/>
      <c r="E21" s="16"/>
      <c r="F21" s="13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24"/>
      <c r="U21" s="51"/>
      <c r="V21" s="51"/>
      <c r="W21" s="4"/>
      <c r="X21" s="51"/>
      <c r="Y21" s="51"/>
      <c r="Z21" s="51"/>
      <c r="AA21" s="51"/>
      <c r="AB21" s="51"/>
      <c r="AC21" s="5"/>
      <c r="AD21" s="146"/>
    </row>
    <row r="22" spans="1:30" x14ac:dyDescent="0.2">
      <c r="B22" s="128" t="s">
        <v>78</v>
      </c>
      <c r="C22" s="129">
        <v>4212.1270248181609</v>
      </c>
      <c r="D22" s="136"/>
      <c r="E22" s="131">
        <v>42860</v>
      </c>
      <c r="F22" s="132">
        <f t="shared" ref="F22:F34" si="8">IFERROR(DATE(2016,MONTH(E22),1),"")</f>
        <v>42491</v>
      </c>
      <c r="G22" s="130"/>
      <c r="H22" s="134">
        <f t="shared" ref="H22:O34" si="9">IF(H$5=$F22,$C22,0)</f>
        <v>0</v>
      </c>
      <c r="I22" s="134">
        <f t="shared" si="9"/>
        <v>0</v>
      </c>
      <c r="J22" s="134">
        <f t="shared" si="9"/>
        <v>0</v>
      </c>
      <c r="K22" s="134">
        <v>0</v>
      </c>
      <c r="L22" s="134">
        <v>4212.13</v>
      </c>
      <c r="M22" s="134">
        <f t="shared" ref="M22:S34" si="10">IF(M$5=$F22,$C22,0)</f>
        <v>0</v>
      </c>
      <c r="N22" s="134">
        <f t="shared" si="10"/>
        <v>0</v>
      </c>
      <c r="O22" s="134">
        <f t="shared" si="10"/>
        <v>0</v>
      </c>
      <c r="P22" s="134">
        <f t="shared" si="10"/>
        <v>0</v>
      </c>
      <c r="Q22" s="134">
        <f t="shared" si="10"/>
        <v>0</v>
      </c>
      <c r="R22" s="134">
        <f t="shared" si="10"/>
        <v>0</v>
      </c>
      <c r="S22" s="134">
        <f t="shared" si="10"/>
        <v>0</v>
      </c>
      <c r="T22" s="136"/>
      <c r="U22" s="133">
        <f>SUM(H22:T22)</f>
        <v>4212.13</v>
      </c>
      <c r="V22" s="129">
        <v>4212.1270248181609</v>
      </c>
      <c r="W22" s="130"/>
      <c r="X22" s="134"/>
      <c r="Y22" s="134"/>
      <c r="Z22" s="134"/>
      <c r="AA22" s="134"/>
      <c r="AB22" s="134">
        <f>SUM(X22:AA22)</f>
        <v>0</v>
      </c>
      <c r="AD22" s="145"/>
    </row>
    <row r="23" spans="1:30" x14ac:dyDescent="0.2">
      <c r="B23" s="128" t="s">
        <v>79</v>
      </c>
      <c r="C23" s="129">
        <v>3600</v>
      </c>
      <c r="D23" s="136"/>
      <c r="E23" s="131">
        <v>42920</v>
      </c>
      <c r="F23" s="132">
        <f t="shared" si="8"/>
        <v>42552</v>
      </c>
      <c r="G23" s="130"/>
      <c r="H23" s="134">
        <f t="shared" si="9"/>
        <v>0</v>
      </c>
      <c r="I23" s="134">
        <f t="shared" si="9"/>
        <v>0</v>
      </c>
      <c r="J23" s="134">
        <f t="shared" si="9"/>
        <v>0</v>
      </c>
      <c r="K23" s="134">
        <f t="shared" si="9"/>
        <v>0</v>
      </c>
      <c r="L23" s="134">
        <f t="shared" si="9"/>
        <v>0</v>
      </c>
      <c r="M23" s="134">
        <f t="shared" si="9"/>
        <v>0</v>
      </c>
      <c r="N23" s="134">
        <v>3600</v>
      </c>
      <c r="O23" s="134">
        <v>0</v>
      </c>
      <c r="P23" s="134">
        <f t="shared" si="10"/>
        <v>0</v>
      </c>
      <c r="Q23" s="134">
        <f t="shared" si="10"/>
        <v>0</v>
      </c>
      <c r="R23" s="134">
        <f t="shared" si="10"/>
        <v>0</v>
      </c>
      <c r="S23" s="134">
        <f t="shared" si="10"/>
        <v>0</v>
      </c>
      <c r="T23" s="136"/>
      <c r="U23" s="133">
        <f>SUM(H23:T23)</f>
        <v>3600</v>
      </c>
      <c r="V23" s="129">
        <v>3600</v>
      </c>
      <c r="W23" s="130"/>
      <c r="X23" s="134"/>
      <c r="Y23" s="134"/>
      <c r="Z23" s="134"/>
      <c r="AA23" s="134"/>
      <c r="AB23" s="134">
        <f t="shared" ref="AB23:AB34" si="11">SUM(X23:AA23)</f>
        <v>0</v>
      </c>
      <c r="AD23" s="145"/>
    </row>
    <row r="24" spans="1:30" x14ac:dyDescent="0.2">
      <c r="B24" s="128" t="s">
        <v>81</v>
      </c>
      <c r="C24" s="129">
        <v>6275.1590139782838</v>
      </c>
      <c r="D24" s="136"/>
      <c r="E24" s="131">
        <v>42790</v>
      </c>
      <c r="F24" s="132">
        <f t="shared" si="8"/>
        <v>42401</v>
      </c>
      <c r="G24" s="130"/>
      <c r="H24" s="134">
        <f t="shared" si="9"/>
        <v>0</v>
      </c>
      <c r="I24" s="134">
        <v>6275.16</v>
      </c>
      <c r="J24" s="134">
        <f t="shared" si="9"/>
        <v>0</v>
      </c>
      <c r="K24" s="134">
        <f t="shared" si="9"/>
        <v>0</v>
      </c>
      <c r="L24" s="134">
        <f t="shared" si="9"/>
        <v>0</v>
      </c>
      <c r="M24" s="134">
        <f t="shared" si="9"/>
        <v>0</v>
      </c>
      <c r="N24" s="134">
        <f>IF(N$5=$F24,$C24,0)</f>
        <v>0</v>
      </c>
      <c r="O24" s="134">
        <f>IF(O$5=$F24,$C24,0)</f>
        <v>0</v>
      </c>
      <c r="P24" s="134">
        <f>IF(P$5=$F24,$C24,0)</f>
        <v>0</v>
      </c>
      <c r="Q24" s="134">
        <f t="shared" si="10"/>
        <v>0</v>
      </c>
      <c r="R24" s="134">
        <f t="shared" si="10"/>
        <v>0</v>
      </c>
      <c r="S24" s="134">
        <f t="shared" si="10"/>
        <v>0</v>
      </c>
      <c r="T24" s="136"/>
      <c r="U24" s="133">
        <f t="shared" ref="U24:U34" si="12">SUM(H24:T24)</f>
        <v>6275.16</v>
      </c>
      <c r="V24" s="129">
        <v>6275.1590139782838</v>
      </c>
      <c r="W24" s="130"/>
      <c r="X24" s="134"/>
      <c r="Y24" s="134"/>
      <c r="Z24" s="134"/>
      <c r="AA24" s="134"/>
      <c r="AB24" s="134">
        <f t="shared" si="11"/>
        <v>0</v>
      </c>
      <c r="AD24" s="145"/>
    </row>
    <row r="25" spans="1:30" x14ac:dyDescent="0.2">
      <c r="B25" s="128" t="s">
        <v>83</v>
      </c>
      <c r="C25" s="129">
        <v>5084.0200000000004</v>
      </c>
      <c r="D25" s="136"/>
      <c r="E25" s="131">
        <v>42790</v>
      </c>
      <c r="F25" s="132">
        <f t="shared" si="8"/>
        <v>42401</v>
      </c>
      <c r="G25" s="130"/>
      <c r="H25" s="134">
        <f t="shared" si="9"/>
        <v>0</v>
      </c>
      <c r="I25" s="134">
        <v>5084.0200000000004</v>
      </c>
      <c r="J25" s="134">
        <f t="shared" si="9"/>
        <v>0</v>
      </c>
      <c r="K25" s="134">
        <f t="shared" si="9"/>
        <v>0</v>
      </c>
      <c r="L25" s="134">
        <f t="shared" si="9"/>
        <v>0</v>
      </c>
      <c r="M25" s="134">
        <f t="shared" si="9"/>
        <v>0</v>
      </c>
      <c r="N25" s="134"/>
      <c r="O25" s="134"/>
      <c r="P25" s="134">
        <f t="shared" si="10"/>
        <v>0</v>
      </c>
      <c r="Q25" s="134">
        <f t="shared" si="10"/>
        <v>0</v>
      </c>
      <c r="R25" s="134">
        <f t="shared" si="10"/>
        <v>0</v>
      </c>
      <c r="S25" s="134">
        <f t="shared" si="10"/>
        <v>0</v>
      </c>
      <c r="T25" s="136"/>
      <c r="U25" s="133">
        <f t="shared" si="12"/>
        <v>5084.0200000000004</v>
      </c>
      <c r="V25" s="129">
        <v>5084.0200000000004</v>
      </c>
      <c r="W25" s="130"/>
      <c r="X25" s="134"/>
      <c r="Y25" s="134"/>
      <c r="Z25" s="134"/>
      <c r="AA25" s="134"/>
      <c r="AB25" s="134">
        <f t="shared" si="11"/>
        <v>0</v>
      </c>
      <c r="AD25" s="145"/>
    </row>
    <row r="26" spans="1:30" x14ac:dyDescent="0.2">
      <c r="B26" s="128" t="s">
        <v>84</v>
      </c>
      <c r="C26" s="129">
        <v>3504.5512774345339</v>
      </c>
      <c r="D26" s="136"/>
      <c r="E26" s="131">
        <v>42976</v>
      </c>
      <c r="F26" s="132">
        <f t="shared" si="8"/>
        <v>42583</v>
      </c>
      <c r="G26" s="130"/>
      <c r="H26" s="134">
        <f t="shared" si="9"/>
        <v>0</v>
      </c>
      <c r="I26" s="134">
        <v>0</v>
      </c>
      <c r="J26" s="134">
        <v>0</v>
      </c>
      <c r="K26" s="134">
        <f t="shared" si="9"/>
        <v>0</v>
      </c>
      <c r="L26" s="134">
        <f t="shared" si="9"/>
        <v>0</v>
      </c>
      <c r="M26" s="134">
        <f t="shared" si="9"/>
        <v>0</v>
      </c>
      <c r="N26" s="134">
        <f t="shared" si="9"/>
        <v>0</v>
      </c>
      <c r="O26" s="134">
        <v>3504.55</v>
      </c>
      <c r="P26" s="134">
        <f t="shared" si="10"/>
        <v>0</v>
      </c>
      <c r="Q26" s="134">
        <f t="shared" si="10"/>
        <v>0</v>
      </c>
      <c r="R26" s="134">
        <f t="shared" si="10"/>
        <v>0</v>
      </c>
      <c r="S26" s="134">
        <f t="shared" si="10"/>
        <v>0</v>
      </c>
      <c r="T26" s="136"/>
      <c r="U26" s="133">
        <f t="shared" si="12"/>
        <v>3504.55</v>
      </c>
      <c r="V26" s="129">
        <v>3504.5512774345339</v>
      </c>
      <c r="W26" s="130"/>
      <c r="X26" s="134"/>
      <c r="Y26" s="134"/>
      <c r="Z26" s="134"/>
      <c r="AA26" s="134"/>
      <c r="AB26" s="134">
        <f t="shared" si="11"/>
        <v>0</v>
      </c>
      <c r="AD26" s="145"/>
    </row>
    <row r="27" spans="1:30" x14ac:dyDescent="0.2">
      <c r="A27" s="35"/>
      <c r="B27" s="128" t="s">
        <v>85</v>
      </c>
      <c r="C27" s="129">
        <v>7580.2707474743102</v>
      </c>
      <c r="D27" s="136"/>
      <c r="E27" s="131">
        <v>42815</v>
      </c>
      <c r="F27" s="132">
        <f t="shared" si="8"/>
        <v>42430</v>
      </c>
      <c r="G27" s="130"/>
      <c r="H27" s="134">
        <f t="shared" si="9"/>
        <v>0</v>
      </c>
      <c r="I27" s="134">
        <f t="shared" si="9"/>
        <v>0</v>
      </c>
      <c r="J27" s="134">
        <v>7580.27</v>
      </c>
      <c r="K27" s="134">
        <f t="shared" si="9"/>
        <v>0</v>
      </c>
      <c r="L27" s="134">
        <f t="shared" si="9"/>
        <v>0</v>
      </c>
      <c r="M27" s="134">
        <f t="shared" si="9"/>
        <v>0</v>
      </c>
      <c r="N27" s="134">
        <f t="shared" si="9"/>
        <v>0</v>
      </c>
      <c r="O27" s="134">
        <f>IF(O$5=$F27,$C27,0)</f>
        <v>0</v>
      </c>
      <c r="P27" s="134">
        <f t="shared" si="10"/>
        <v>0</v>
      </c>
      <c r="Q27" s="134">
        <f t="shared" si="10"/>
        <v>0</v>
      </c>
      <c r="R27" s="134">
        <f t="shared" si="10"/>
        <v>0</v>
      </c>
      <c r="S27" s="134">
        <f t="shared" si="10"/>
        <v>0</v>
      </c>
      <c r="T27" s="136"/>
      <c r="U27" s="133">
        <f t="shared" si="12"/>
        <v>7580.27</v>
      </c>
      <c r="V27" s="129">
        <v>7592.27</v>
      </c>
      <c r="W27" s="130"/>
      <c r="X27" s="134"/>
      <c r="Y27" s="134"/>
      <c r="Z27" s="134"/>
      <c r="AA27" s="134"/>
      <c r="AB27" s="134">
        <f t="shared" si="11"/>
        <v>0</v>
      </c>
      <c r="AD27" s="145"/>
    </row>
    <row r="28" spans="1:30" x14ac:dyDescent="0.2">
      <c r="A28" s="35"/>
      <c r="B28" s="128" t="s">
        <v>87</v>
      </c>
      <c r="C28" s="129">
        <v>5439</v>
      </c>
      <c r="D28" s="130"/>
      <c r="E28" s="131">
        <v>42803</v>
      </c>
      <c r="F28" s="132">
        <f t="shared" si="8"/>
        <v>42430</v>
      </c>
      <c r="G28" s="130"/>
      <c r="H28" s="134">
        <f t="shared" si="9"/>
        <v>0</v>
      </c>
      <c r="I28" s="134">
        <f t="shared" si="9"/>
        <v>0</v>
      </c>
      <c r="J28" s="134">
        <v>5439</v>
      </c>
      <c r="K28" s="134">
        <f t="shared" si="9"/>
        <v>0</v>
      </c>
      <c r="L28" s="134">
        <f t="shared" si="9"/>
        <v>0</v>
      </c>
      <c r="M28" s="134">
        <f t="shared" si="9"/>
        <v>0</v>
      </c>
      <c r="N28" s="134">
        <f t="shared" si="9"/>
        <v>0</v>
      </c>
      <c r="O28" s="134">
        <f>IF(O$5=$F28,$C28,0)</f>
        <v>0</v>
      </c>
      <c r="P28" s="134">
        <f t="shared" si="10"/>
        <v>0</v>
      </c>
      <c r="Q28" s="134">
        <f t="shared" si="10"/>
        <v>0</v>
      </c>
      <c r="R28" s="134">
        <f t="shared" si="10"/>
        <v>0</v>
      </c>
      <c r="S28" s="134">
        <f t="shared" si="10"/>
        <v>0</v>
      </c>
      <c r="T28" s="136"/>
      <c r="U28" s="133">
        <f t="shared" si="12"/>
        <v>5439</v>
      </c>
      <c r="V28" s="129">
        <v>5439</v>
      </c>
      <c r="W28" s="130"/>
      <c r="X28" s="134"/>
      <c r="Y28" s="134"/>
      <c r="Z28" s="134"/>
      <c r="AA28" s="134"/>
      <c r="AB28" s="134">
        <f t="shared" si="11"/>
        <v>0</v>
      </c>
      <c r="AD28" s="145"/>
    </row>
    <row r="29" spans="1:30" x14ac:dyDescent="0.2">
      <c r="A29" s="35"/>
      <c r="B29" s="128" t="s">
        <v>88</v>
      </c>
      <c r="C29" s="129">
        <v>1165.2</v>
      </c>
      <c r="D29" s="130"/>
      <c r="E29" s="131">
        <v>42829</v>
      </c>
      <c r="F29" s="132">
        <f t="shared" si="8"/>
        <v>42461</v>
      </c>
      <c r="G29" s="130"/>
      <c r="H29" s="134">
        <f t="shared" si="9"/>
        <v>0</v>
      </c>
      <c r="I29" s="134">
        <f t="shared" si="9"/>
        <v>0</v>
      </c>
      <c r="J29" s="134">
        <f t="shared" si="9"/>
        <v>0</v>
      </c>
      <c r="K29" s="134">
        <v>1165.2</v>
      </c>
      <c r="L29" s="134">
        <f t="shared" si="9"/>
        <v>0</v>
      </c>
      <c r="M29" s="134">
        <f t="shared" si="9"/>
        <v>0</v>
      </c>
      <c r="N29" s="134">
        <f t="shared" si="9"/>
        <v>0</v>
      </c>
      <c r="O29" s="134">
        <f>IF(O$5=$F29,$C29,0)</f>
        <v>0</v>
      </c>
      <c r="P29" s="134">
        <f t="shared" si="10"/>
        <v>0</v>
      </c>
      <c r="Q29" s="134">
        <f t="shared" si="10"/>
        <v>0</v>
      </c>
      <c r="R29" s="134">
        <f t="shared" si="10"/>
        <v>0</v>
      </c>
      <c r="S29" s="134">
        <f t="shared" si="10"/>
        <v>0</v>
      </c>
      <c r="T29" s="136"/>
      <c r="U29" s="133">
        <f t="shared" si="12"/>
        <v>1165.2</v>
      </c>
      <c r="V29" s="129">
        <v>1165.2</v>
      </c>
      <c r="W29" s="130"/>
      <c r="X29" s="134"/>
      <c r="Y29" s="134"/>
      <c r="Z29" s="134"/>
      <c r="AA29" s="134"/>
      <c r="AB29" s="134">
        <f t="shared" si="11"/>
        <v>0</v>
      </c>
      <c r="AD29" s="145"/>
    </row>
    <row r="30" spans="1:30" x14ac:dyDescent="0.2">
      <c r="A30" s="35"/>
      <c r="B30" s="128" t="s">
        <v>89</v>
      </c>
      <c r="C30" s="129">
        <v>2416.9383109404989</v>
      </c>
      <c r="D30" s="130"/>
      <c r="E30" s="131">
        <v>43089</v>
      </c>
      <c r="F30" s="132">
        <f t="shared" si="8"/>
        <v>42705</v>
      </c>
      <c r="G30" s="130"/>
      <c r="H30" s="134">
        <f t="shared" si="9"/>
        <v>0</v>
      </c>
      <c r="I30" s="134">
        <f t="shared" si="9"/>
        <v>0</v>
      </c>
      <c r="J30" s="134">
        <f t="shared" si="9"/>
        <v>0</v>
      </c>
      <c r="K30" s="134">
        <f>IF(K$5=$F30,$C30,0)</f>
        <v>0</v>
      </c>
      <c r="L30" s="134">
        <f t="shared" si="9"/>
        <v>0</v>
      </c>
      <c r="M30" s="134">
        <f t="shared" si="9"/>
        <v>0</v>
      </c>
      <c r="N30" s="134">
        <f t="shared" si="9"/>
        <v>0</v>
      </c>
      <c r="O30" s="134">
        <v>0</v>
      </c>
      <c r="P30" s="134">
        <f t="shared" si="10"/>
        <v>0</v>
      </c>
      <c r="Q30" s="134">
        <f t="shared" si="10"/>
        <v>0</v>
      </c>
      <c r="R30" s="134">
        <f t="shared" si="10"/>
        <v>0</v>
      </c>
      <c r="S30" s="134">
        <v>2416.94</v>
      </c>
      <c r="T30" s="136"/>
      <c r="U30" s="133">
        <f t="shared" si="12"/>
        <v>2416.94</v>
      </c>
      <c r="V30" s="129">
        <v>2416.9383109404989</v>
      </c>
      <c r="W30" s="130"/>
      <c r="X30" s="134"/>
      <c r="Y30" s="134"/>
      <c r="Z30" s="134"/>
      <c r="AA30" s="134"/>
      <c r="AB30" s="134">
        <f t="shared" si="11"/>
        <v>0</v>
      </c>
      <c r="AD30" s="145"/>
    </row>
    <row r="31" spans="1:30" x14ac:dyDescent="0.2">
      <c r="A31" s="35"/>
      <c r="B31" s="128" t="s">
        <v>90</v>
      </c>
      <c r="C31" s="129">
        <v>2463.2633670719292</v>
      </c>
      <c r="D31" s="130"/>
      <c r="E31" s="131">
        <v>43385</v>
      </c>
      <c r="F31" s="132">
        <f t="shared" si="8"/>
        <v>42644</v>
      </c>
      <c r="G31" s="130"/>
      <c r="H31" s="134">
        <f t="shared" si="9"/>
        <v>0</v>
      </c>
      <c r="I31" s="134">
        <f t="shared" si="9"/>
        <v>0</v>
      </c>
      <c r="J31" s="134">
        <f t="shared" si="9"/>
        <v>0</v>
      </c>
      <c r="K31" s="134">
        <f t="shared" si="9"/>
        <v>0</v>
      </c>
      <c r="L31" s="134">
        <f t="shared" si="9"/>
        <v>0</v>
      </c>
      <c r="M31" s="134">
        <f t="shared" si="9"/>
        <v>0</v>
      </c>
      <c r="N31" s="134">
        <f t="shared" si="9"/>
        <v>0</v>
      </c>
      <c r="O31" s="134">
        <f>IF(O$5=$F31,$C31,0)</f>
        <v>0</v>
      </c>
      <c r="P31" s="134">
        <f t="shared" si="10"/>
        <v>0</v>
      </c>
      <c r="Q31" s="134">
        <v>2496.2600000000002</v>
      </c>
      <c r="R31" s="134">
        <f t="shared" si="10"/>
        <v>0</v>
      </c>
      <c r="S31" s="134">
        <f t="shared" si="10"/>
        <v>0</v>
      </c>
      <c r="T31" s="136"/>
      <c r="U31" s="133">
        <f t="shared" si="12"/>
        <v>2496.2600000000002</v>
      </c>
      <c r="V31" s="129">
        <f>2463.26336707193+33</f>
        <v>2496.2633670719301</v>
      </c>
      <c r="W31" s="130"/>
      <c r="X31" s="134"/>
      <c r="Y31" s="134"/>
      <c r="Z31" s="134"/>
      <c r="AA31" s="134">
        <v>33</v>
      </c>
      <c r="AB31" s="134">
        <f t="shared" si="11"/>
        <v>33</v>
      </c>
      <c r="AD31" s="145"/>
    </row>
    <row r="32" spans="1:30" x14ac:dyDescent="0.2">
      <c r="B32" s="128" t="s">
        <v>91</v>
      </c>
      <c r="C32" s="129">
        <v>788.55544974585064</v>
      </c>
      <c r="D32" s="130"/>
      <c r="E32" s="131">
        <v>42804</v>
      </c>
      <c r="F32" s="132">
        <f t="shared" si="8"/>
        <v>42430</v>
      </c>
      <c r="G32" s="130"/>
      <c r="H32" s="134">
        <f t="shared" si="9"/>
        <v>0</v>
      </c>
      <c r="I32" s="134">
        <f t="shared" si="9"/>
        <v>0</v>
      </c>
      <c r="J32" s="134">
        <v>788.56</v>
      </c>
      <c r="K32" s="134">
        <f>IF(K$5=$F32,$C32,0)</f>
        <v>0</v>
      </c>
      <c r="L32" s="134">
        <f t="shared" si="9"/>
        <v>0</v>
      </c>
      <c r="M32" s="134">
        <f t="shared" si="9"/>
        <v>0</v>
      </c>
      <c r="N32" s="134">
        <f t="shared" si="9"/>
        <v>0</v>
      </c>
      <c r="O32" s="134">
        <f>IF(O$5=$F32,$C32,0)</f>
        <v>0</v>
      </c>
      <c r="P32" s="134">
        <f t="shared" si="10"/>
        <v>0</v>
      </c>
      <c r="Q32" s="134">
        <f t="shared" si="10"/>
        <v>0</v>
      </c>
      <c r="R32" s="134">
        <f t="shared" si="10"/>
        <v>0</v>
      </c>
      <c r="S32" s="134">
        <f t="shared" si="10"/>
        <v>0</v>
      </c>
      <c r="T32" s="136"/>
      <c r="U32" s="133">
        <f t="shared" si="12"/>
        <v>788.56</v>
      </c>
      <c r="V32" s="129">
        <v>788.55544974585064</v>
      </c>
      <c r="W32" s="130"/>
      <c r="X32" s="134"/>
      <c r="Y32" s="134"/>
      <c r="Z32" s="134"/>
      <c r="AA32" s="134"/>
      <c r="AB32" s="134">
        <f t="shared" si="11"/>
        <v>0</v>
      </c>
      <c r="AD32" s="145"/>
    </row>
    <row r="33" spans="2:30" x14ac:dyDescent="0.2">
      <c r="B33" s="128" t="s">
        <v>92</v>
      </c>
      <c r="C33" s="129">
        <v>3598.5</v>
      </c>
      <c r="D33" s="130"/>
      <c r="E33" s="131"/>
      <c r="F33" s="132">
        <f t="shared" si="8"/>
        <v>42370</v>
      </c>
      <c r="G33" s="130"/>
      <c r="H33" s="134">
        <f t="shared" si="9"/>
        <v>0</v>
      </c>
      <c r="I33" s="134">
        <f t="shared" si="9"/>
        <v>0</v>
      </c>
      <c r="J33" s="134">
        <f t="shared" si="9"/>
        <v>0</v>
      </c>
      <c r="K33" s="134">
        <f>IF(K$5=$F33,$C33,0)</f>
        <v>0</v>
      </c>
      <c r="L33" s="134">
        <f t="shared" si="9"/>
        <v>0</v>
      </c>
      <c r="M33" s="134">
        <v>3598.5</v>
      </c>
      <c r="N33" s="134">
        <f t="shared" si="9"/>
        <v>0</v>
      </c>
      <c r="O33" s="134">
        <f t="shared" si="9"/>
        <v>0</v>
      </c>
      <c r="P33" s="134">
        <f t="shared" si="10"/>
        <v>0</v>
      </c>
      <c r="Q33" s="134">
        <f t="shared" si="10"/>
        <v>0</v>
      </c>
      <c r="R33" s="134">
        <f t="shared" si="10"/>
        <v>0</v>
      </c>
      <c r="S33" s="134">
        <f t="shared" si="10"/>
        <v>0</v>
      </c>
      <c r="T33" s="136"/>
      <c r="U33" s="133">
        <f t="shared" si="12"/>
        <v>3598.5</v>
      </c>
      <c r="V33" s="129">
        <v>3598.5</v>
      </c>
      <c r="W33" s="130"/>
      <c r="X33" s="134"/>
      <c r="Y33" s="134"/>
      <c r="Z33" s="134"/>
      <c r="AA33" s="134"/>
      <c r="AB33" s="134">
        <f t="shared" si="11"/>
        <v>0</v>
      </c>
      <c r="AD33" s="145"/>
    </row>
    <row r="34" spans="2:30" ht="10.5" thickBot="1" x14ac:dyDescent="0.25">
      <c r="B34" s="137" t="s">
        <v>93</v>
      </c>
      <c r="C34" s="138">
        <v>61908.326150000001</v>
      </c>
      <c r="D34" s="136"/>
      <c r="E34" s="139">
        <v>42790</v>
      </c>
      <c r="F34" s="140">
        <f t="shared" si="8"/>
        <v>42401</v>
      </c>
      <c r="G34" s="130"/>
      <c r="H34" s="142">
        <f t="shared" si="9"/>
        <v>0</v>
      </c>
      <c r="I34" s="142">
        <v>61908.33</v>
      </c>
      <c r="J34" s="142">
        <f t="shared" si="9"/>
        <v>0</v>
      </c>
      <c r="K34" s="142">
        <f>IF(K$5=$F34,$C34,0)</f>
        <v>0</v>
      </c>
      <c r="L34" s="142">
        <f t="shared" si="9"/>
        <v>0</v>
      </c>
      <c r="M34" s="142">
        <f t="shared" si="9"/>
        <v>0</v>
      </c>
      <c r="N34" s="142">
        <f t="shared" si="9"/>
        <v>0</v>
      </c>
      <c r="O34" s="142">
        <f>IF(O$5=$F34,$C34,0)</f>
        <v>0</v>
      </c>
      <c r="P34" s="142">
        <f t="shared" si="10"/>
        <v>0</v>
      </c>
      <c r="Q34" s="142">
        <f t="shared" si="10"/>
        <v>0</v>
      </c>
      <c r="R34" s="142">
        <f t="shared" si="10"/>
        <v>0</v>
      </c>
      <c r="S34" s="142">
        <f t="shared" si="10"/>
        <v>0</v>
      </c>
      <c r="T34" s="136"/>
      <c r="U34" s="141">
        <f t="shared" si="12"/>
        <v>61908.33</v>
      </c>
      <c r="V34" s="138">
        <v>61908.326150000001</v>
      </c>
      <c r="W34" s="130"/>
      <c r="X34" s="142"/>
      <c r="Y34" s="142"/>
      <c r="Z34" s="142"/>
      <c r="AA34" s="142"/>
      <c r="AB34" s="142">
        <f t="shared" si="11"/>
        <v>0</v>
      </c>
      <c r="AD34" s="145"/>
    </row>
    <row r="35" spans="2:30" ht="10.5" thickBot="1" x14ac:dyDescent="0.25">
      <c r="C35" s="126">
        <f>SUM(C22:C34)</f>
        <v>108035.91134146356</v>
      </c>
      <c r="H35" s="79">
        <f t="shared" ref="H35:S35" si="13">SUM(H22:H34)</f>
        <v>0</v>
      </c>
      <c r="I35" s="79">
        <f t="shared" si="13"/>
        <v>73267.510000000009</v>
      </c>
      <c r="J35" s="79">
        <f t="shared" si="13"/>
        <v>13807.83</v>
      </c>
      <c r="K35" s="79">
        <f t="shared" si="13"/>
        <v>1165.2</v>
      </c>
      <c r="L35" s="79">
        <f t="shared" si="13"/>
        <v>4212.13</v>
      </c>
      <c r="M35" s="79">
        <f t="shared" si="13"/>
        <v>3598.5</v>
      </c>
      <c r="N35" s="79">
        <f t="shared" si="13"/>
        <v>3600</v>
      </c>
      <c r="O35" s="79">
        <f t="shared" si="13"/>
        <v>3504.55</v>
      </c>
      <c r="P35" s="79">
        <f t="shared" si="13"/>
        <v>0</v>
      </c>
      <c r="Q35" s="79">
        <f t="shared" si="13"/>
        <v>2496.2600000000002</v>
      </c>
      <c r="R35" s="79">
        <f t="shared" si="13"/>
        <v>0</v>
      </c>
      <c r="S35" s="79">
        <f t="shared" si="13"/>
        <v>2416.94</v>
      </c>
      <c r="T35" s="81"/>
      <c r="U35" s="78">
        <f>SUM(U22:U34)</f>
        <v>108068.92000000001</v>
      </c>
      <c r="V35" s="80">
        <f>SUM(V22:V34)</f>
        <v>108080.91059398926</v>
      </c>
      <c r="W35" s="4"/>
      <c r="X35" s="79">
        <f>SUM(X22:X34)</f>
        <v>0</v>
      </c>
      <c r="Y35" s="79">
        <f>SUM(Y22:Y34)</f>
        <v>0</v>
      </c>
      <c r="Z35" s="79">
        <f>SUM(Z22:Z34)</f>
        <v>0</v>
      </c>
      <c r="AA35" s="79">
        <f>SUM(AA22:AA34)</f>
        <v>33</v>
      </c>
      <c r="AB35" s="79">
        <f t="shared" si="7"/>
        <v>33</v>
      </c>
      <c r="AD35" s="145"/>
    </row>
    <row r="36" spans="2:30" ht="11" thickBot="1" x14ac:dyDescent="0.3">
      <c r="C36" s="127">
        <f>C19+C35</f>
        <v>116912.88134146357</v>
      </c>
      <c r="D36" s="24"/>
      <c r="H36" s="85">
        <f t="shared" ref="H36:V36" si="14">H35+H19</f>
        <v>0</v>
      </c>
      <c r="I36" s="85">
        <f t="shared" si="14"/>
        <v>73267.510000000009</v>
      </c>
      <c r="J36" s="85">
        <f t="shared" si="14"/>
        <v>15425.71</v>
      </c>
      <c r="K36" s="85">
        <f t="shared" si="14"/>
        <v>1165.2</v>
      </c>
      <c r="L36" s="85">
        <f t="shared" si="14"/>
        <v>4212.13</v>
      </c>
      <c r="M36" s="85">
        <f>M35+M19</f>
        <v>3678</v>
      </c>
      <c r="N36" s="85">
        <f t="shared" si="14"/>
        <v>3990.88</v>
      </c>
      <c r="O36" s="85">
        <f t="shared" si="14"/>
        <v>6530.68</v>
      </c>
      <c r="P36" s="85">
        <f t="shared" si="14"/>
        <v>2055</v>
      </c>
      <c r="Q36" s="85">
        <f t="shared" si="14"/>
        <v>2496.2600000000002</v>
      </c>
      <c r="R36" s="85">
        <f t="shared" si="14"/>
        <v>0</v>
      </c>
      <c r="S36" s="85">
        <f t="shared" si="14"/>
        <v>3032.52</v>
      </c>
      <c r="T36" s="86"/>
      <c r="U36" s="87">
        <f>U35+U19</f>
        <v>115853.89000000001</v>
      </c>
      <c r="V36" s="88">
        <f t="shared" si="14"/>
        <v>116864.07059398927</v>
      </c>
      <c r="W36" s="4"/>
      <c r="X36" s="85">
        <f>X35+X19</f>
        <v>0</v>
      </c>
      <c r="Y36" s="85">
        <f>Y35+Y19</f>
        <v>0</v>
      </c>
      <c r="Z36" s="85">
        <f>Z35+Z19</f>
        <v>485</v>
      </c>
      <c r="AA36" s="85">
        <f>AA35+AA19</f>
        <v>761</v>
      </c>
      <c r="AB36" s="85">
        <f t="shared" si="7"/>
        <v>1246</v>
      </c>
      <c r="AD36" s="145"/>
    </row>
    <row r="37" spans="2:30" ht="10.5" thickTop="1" x14ac:dyDescent="0.2">
      <c r="W37" s="4"/>
    </row>
    <row r="38" spans="2:30" x14ac:dyDescent="0.2">
      <c r="W38" s="4"/>
    </row>
    <row r="39" spans="2:30" x14ac:dyDescent="0.2">
      <c r="W39" s="4"/>
    </row>
    <row r="40" spans="2:30" x14ac:dyDescent="0.2">
      <c r="W40" s="4"/>
    </row>
    <row r="41" spans="2:30" x14ac:dyDescent="0.2">
      <c r="W41" s="4"/>
    </row>
    <row r="42" spans="2:30" x14ac:dyDescent="0.2">
      <c r="W42" s="4"/>
    </row>
  </sheetData>
  <pageMargins left="0.7" right="0.7" top="0.75" bottom="0.75" header="0.3" footer="0.3"/>
  <pageSetup paperSize="9" orientation="portrait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E42"/>
  <sheetViews>
    <sheetView topLeftCell="B1" workbookViewId="0">
      <selection activeCell="J49" sqref="J49"/>
    </sheetView>
  </sheetViews>
  <sheetFormatPr defaultColWidth="9.1796875" defaultRowHeight="10" x14ac:dyDescent="0.2"/>
  <cols>
    <col min="1" max="1" width="11.26953125" style="1" bestFit="1" customWidth="1"/>
    <col min="2" max="2" width="20.1796875" style="1" bestFit="1" customWidth="1"/>
    <col min="3" max="3" width="4.26953125" style="1" customWidth="1"/>
    <col min="4" max="4" width="12.7265625" style="1" bestFit="1" customWidth="1"/>
    <col min="5" max="5" width="1.7265625" style="4" customWidth="1"/>
    <col min="6" max="6" width="11.26953125" style="1" bestFit="1" customWidth="1"/>
    <col min="7" max="7" width="10.7265625" style="1" customWidth="1"/>
    <col min="8" max="8" width="1.54296875" style="4" customWidth="1"/>
    <col min="9" max="20" width="9" style="1" bestFit="1" customWidth="1"/>
    <col min="21" max="21" width="1.7265625" style="4" customWidth="1"/>
    <col min="22" max="22" width="12.7265625" style="1" bestFit="1" customWidth="1"/>
    <col min="23" max="23" width="13" style="1" bestFit="1" customWidth="1"/>
    <col min="24" max="24" width="1.54296875" style="5" customWidth="1"/>
    <col min="25" max="25" width="7.26953125" style="1" bestFit="1" customWidth="1"/>
    <col min="26" max="28" width="6.81640625" style="1" bestFit="1" customWidth="1"/>
    <col min="29" max="29" width="8.1796875" style="1" bestFit="1" customWidth="1"/>
    <col min="30" max="30" width="1.54296875" style="1" customWidth="1"/>
    <col min="31" max="31" width="65" style="1" customWidth="1"/>
    <col min="32" max="32" width="9.1796875" style="1"/>
    <col min="33" max="33" width="11.26953125" style="1" bestFit="1" customWidth="1"/>
    <col min="34" max="16384" width="9.1796875" style="1"/>
  </cols>
  <sheetData>
    <row r="2" spans="1:31" x14ac:dyDescent="0.2">
      <c r="A2" s="3" t="s">
        <v>49</v>
      </c>
    </row>
    <row r="3" spans="1:31" x14ac:dyDescent="0.2">
      <c r="A3" s="6" t="s">
        <v>50</v>
      </c>
    </row>
    <row r="4" spans="1:31" ht="10.5" x14ac:dyDescent="0.25">
      <c r="V4" s="7"/>
      <c r="W4" s="7"/>
      <c r="Y4" s="252" t="s">
        <v>51</v>
      </c>
      <c r="Z4" s="252"/>
      <c r="AA4" s="252"/>
      <c r="AB4" s="252"/>
      <c r="AC4" s="252"/>
    </row>
    <row r="5" spans="1:31" ht="11" thickBot="1" x14ac:dyDescent="0.3">
      <c r="A5" s="8" t="s">
        <v>52</v>
      </c>
      <c r="B5" s="9"/>
      <c r="C5" s="9"/>
      <c r="D5" s="10" t="s">
        <v>53</v>
      </c>
      <c r="F5" s="11" t="s">
        <v>54</v>
      </c>
      <c r="G5" s="12" t="s">
        <v>55</v>
      </c>
      <c r="I5" s="13">
        <v>42005</v>
      </c>
      <c r="J5" s="13">
        <v>42036</v>
      </c>
      <c r="K5" s="13">
        <v>42064</v>
      </c>
      <c r="L5" s="13">
        <v>42095</v>
      </c>
      <c r="M5" s="13">
        <v>42125</v>
      </c>
      <c r="N5" s="13">
        <v>42156</v>
      </c>
      <c r="O5" s="13">
        <v>42186</v>
      </c>
      <c r="P5" s="13">
        <v>42217</v>
      </c>
      <c r="Q5" s="13">
        <v>42248</v>
      </c>
      <c r="R5" s="13">
        <v>42278</v>
      </c>
      <c r="S5" s="13">
        <v>42309</v>
      </c>
      <c r="T5" s="13">
        <v>42339</v>
      </c>
      <c r="U5" s="14"/>
      <c r="V5" s="15" t="s">
        <v>56</v>
      </c>
      <c r="W5" s="15" t="s">
        <v>57</v>
      </c>
      <c r="Y5" s="16" t="s">
        <v>58</v>
      </c>
      <c r="Z5" s="17" t="s">
        <v>59</v>
      </c>
      <c r="AA5" s="17" t="s">
        <v>60</v>
      </c>
      <c r="AB5" s="17" t="s">
        <v>53</v>
      </c>
      <c r="AC5" s="16" t="s">
        <v>10</v>
      </c>
      <c r="AE5" s="9" t="s">
        <v>61</v>
      </c>
    </row>
    <row r="6" spans="1:31" x14ac:dyDescent="0.2">
      <c r="B6" s="18" t="s">
        <v>62</v>
      </c>
      <c r="C6" s="18"/>
      <c r="D6" s="19">
        <v>310</v>
      </c>
      <c r="F6" s="20">
        <v>42703</v>
      </c>
      <c r="G6" s="21">
        <f t="shared" ref="G6:G18" si="0">IFERROR(DATE(2015,MONTH(F6),1),"")</f>
        <v>42309</v>
      </c>
      <c r="I6" s="23">
        <f t="shared" ref="I6:T11" si="1">IF(I$5=$G6,$D6,0)</f>
        <v>0</v>
      </c>
      <c r="J6" s="23">
        <f t="shared" si="1"/>
        <v>0</v>
      </c>
      <c r="K6" s="23">
        <f t="shared" si="1"/>
        <v>0</v>
      </c>
      <c r="L6" s="23">
        <f t="shared" si="1"/>
        <v>0</v>
      </c>
      <c r="M6" s="23">
        <f t="shared" si="1"/>
        <v>0</v>
      </c>
      <c r="N6" s="23">
        <f t="shared" si="1"/>
        <v>0</v>
      </c>
      <c r="O6" s="23">
        <f t="shared" si="1"/>
        <v>0</v>
      </c>
      <c r="P6" s="23">
        <f t="shared" si="1"/>
        <v>0</v>
      </c>
      <c r="Q6" s="23">
        <f t="shared" si="1"/>
        <v>0</v>
      </c>
      <c r="R6" s="23">
        <f t="shared" si="1"/>
        <v>0</v>
      </c>
      <c r="S6" s="23">
        <f t="shared" si="1"/>
        <v>310</v>
      </c>
      <c r="T6" s="23">
        <f t="shared" si="1"/>
        <v>0</v>
      </c>
      <c r="U6" s="24"/>
      <c r="V6" s="22">
        <f t="shared" ref="V6:V18" si="2">SUM(I6:U6)</f>
        <v>310</v>
      </c>
      <c r="W6" s="19">
        <v>552</v>
      </c>
      <c r="X6" s="4"/>
      <c r="Y6" s="22">
        <v>0</v>
      </c>
      <c r="Z6" s="25">
        <v>0</v>
      </c>
      <c r="AA6" s="23">
        <v>242</v>
      </c>
      <c r="AB6" s="23">
        <f t="shared" ref="AB6:AB18" si="3">D6-V6</f>
        <v>0</v>
      </c>
      <c r="AC6" s="26">
        <f>SUM(Y6:AB6)-AA6</f>
        <v>0</v>
      </c>
    </row>
    <row r="7" spans="1:31" x14ac:dyDescent="0.2">
      <c r="B7" s="27" t="s">
        <v>63</v>
      </c>
      <c r="C7" s="27"/>
      <c r="D7" s="28">
        <v>161</v>
      </c>
      <c r="F7" s="29">
        <v>42733</v>
      </c>
      <c r="G7" s="30">
        <f>IFERROR(DATE(2015,MONTH(F7),1),"")</f>
        <v>42339</v>
      </c>
      <c r="I7" s="32">
        <f t="shared" si="1"/>
        <v>0</v>
      </c>
      <c r="J7" s="32">
        <f t="shared" si="1"/>
        <v>0</v>
      </c>
      <c r="K7" s="32">
        <f t="shared" si="1"/>
        <v>0</v>
      </c>
      <c r="L7" s="32">
        <f t="shared" si="1"/>
        <v>0</v>
      </c>
      <c r="M7" s="32">
        <f t="shared" si="1"/>
        <v>0</v>
      </c>
      <c r="N7" s="32">
        <f t="shared" si="1"/>
        <v>0</v>
      </c>
      <c r="O7" s="32">
        <f t="shared" si="1"/>
        <v>0</v>
      </c>
      <c r="P7" s="32">
        <f t="shared" si="1"/>
        <v>0</v>
      </c>
      <c r="Q7" s="32">
        <f t="shared" si="1"/>
        <v>0</v>
      </c>
      <c r="R7" s="32">
        <f t="shared" si="1"/>
        <v>0</v>
      </c>
      <c r="S7" s="32">
        <f t="shared" si="1"/>
        <v>0</v>
      </c>
      <c r="T7" s="32">
        <f t="shared" si="1"/>
        <v>161</v>
      </c>
      <c r="U7" s="24"/>
      <c r="V7" s="31">
        <f t="shared" si="2"/>
        <v>161</v>
      </c>
      <c r="W7" s="28">
        <v>322</v>
      </c>
      <c r="X7" s="4"/>
      <c r="Y7" s="31">
        <v>0</v>
      </c>
      <c r="Z7" s="32">
        <v>0</v>
      </c>
      <c r="AA7" s="32">
        <v>161</v>
      </c>
      <c r="AB7" s="32">
        <v>161</v>
      </c>
      <c r="AC7" s="33">
        <f t="shared" ref="AC7:AC36" si="4">SUM(Y7:AB7)</f>
        <v>322</v>
      </c>
    </row>
    <row r="8" spans="1:31" x14ac:dyDescent="0.2">
      <c r="B8" s="27" t="s">
        <v>64</v>
      </c>
      <c r="C8" s="27"/>
      <c r="D8" s="28">
        <v>1798</v>
      </c>
      <c r="F8" s="29">
        <v>42671</v>
      </c>
      <c r="G8" s="30">
        <f>IFERROR(DATE(2015,MONTH(F8),1),"")</f>
        <v>42278</v>
      </c>
      <c r="I8" s="32">
        <f t="shared" si="1"/>
        <v>0</v>
      </c>
      <c r="J8" s="32">
        <f t="shared" si="1"/>
        <v>0</v>
      </c>
      <c r="K8" s="32">
        <f t="shared" si="1"/>
        <v>0</v>
      </c>
      <c r="L8" s="32">
        <f t="shared" si="1"/>
        <v>0</v>
      </c>
      <c r="M8" s="32">
        <f t="shared" si="1"/>
        <v>0</v>
      </c>
      <c r="N8" s="32">
        <f t="shared" si="1"/>
        <v>0</v>
      </c>
      <c r="O8" s="32">
        <f t="shared" si="1"/>
        <v>0</v>
      </c>
      <c r="P8" s="32">
        <f t="shared" si="1"/>
        <v>0</v>
      </c>
      <c r="Q8" s="32">
        <f t="shared" si="1"/>
        <v>0</v>
      </c>
      <c r="R8" s="32">
        <f t="shared" si="1"/>
        <v>1798</v>
      </c>
      <c r="S8" s="32">
        <f t="shared" si="1"/>
        <v>0</v>
      </c>
      <c r="T8" s="32">
        <f t="shared" si="1"/>
        <v>0</v>
      </c>
      <c r="U8" s="24"/>
      <c r="V8" s="31">
        <f t="shared" si="2"/>
        <v>1798</v>
      </c>
      <c r="W8" s="28">
        <v>1798</v>
      </c>
      <c r="X8" s="4"/>
      <c r="Y8" s="31">
        <v>0</v>
      </c>
      <c r="Z8" s="32">
        <v>0</v>
      </c>
      <c r="AA8" s="32">
        <v>0</v>
      </c>
      <c r="AB8" s="32">
        <f t="shared" si="3"/>
        <v>0</v>
      </c>
      <c r="AC8" s="33">
        <f t="shared" si="4"/>
        <v>0</v>
      </c>
    </row>
    <row r="9" spans="1:31" x14ac:dyDescent="0.2">
      <c r="B9" s="27" t="s">
        <v>65</v>
      </c>
      <c r="C9" s="27"/>
      <c r="D9" s="28">
        <v>174</v>
      </c>
      <c r="F9" s="29">
        <v>42423</v>
      </c>
      <c r="G9" s="30">
        <f t="shared" si="0"/>
        <v>42036</v>
      </c>
      <c r="I9" s="32">
        <f t="shared" si="1"/>
        <v>0</v>
      </c>
      <c r="J9" s="32">
        <f t="shared" si="1"/>
        <v>174</v>
      </c>
      <c r="K9" s="32">
        <f t="shared" si="1"/>
        <v>0</v>
      </c>
      <c r="L9" s="32">
        <f t="shared" si="1"/>
        <v>0</v>
      </c>
      <c r="M9" s="32">
        <f t="shared" si="1"/>
        <v>0</v>
      </c>
      <c r="N9" s="32">
        <f t="shared" si="1"/>
        <v>0</v>
      </c>
      <c r="O9" s="32">
        <f t="shared" si="1"/>
        <v>0</v>
      </c>
      <c r="P9" s="32">
        <f t="shared" si="1"/>
        <v>0</v>
      </c>
      <c r="Q9" s="32">
        <f t="shared" si="1"/>
        <v>0</v>
      </c>
      <c r="R9" s="32">
        <f t="shared" si="1"/>
        <v>0</v>
      </c>
      <c r="S9" s="32">
        <f t="shared" si="1"/>
        <v>0</v>
      </c>
      <c r="T9" s="32">
        <f t="shared" si="1"/>
        <v>0</v>
      </c>
      <c r="U9" s="24"/>
      <c r="V9" s="31">
        <f t="shared" si="2"/>
        <v>174</v>
      </c>
      <c r="W9" s="28">
        <v>174</v>
      </c>
      <c r="X9" s="4"/>
      <c r="Y9" s="31">
        <v>0</v>
      </c>
      <c r="Z9" s="32">
        <v>0</v>
      </c>
      <c r="AA9" s="32">
        <v>0</v>
      </c>
      <c r="AB9" s="32">
        <f t="shared" si="3"/>
        <v>0</v>
      </c>
      <c r="AC9" s="33">
        <f t="shared" si="4"/>
        <v>0</v>
      </c>
      <c r="AE9" s="34"/>
    </row>
    <row r="10" spans="1:31" x14ac:dyDescent="0.2">
      <c r="B10" s="27" t="s">
        <v>66</v>
      </c>
      <c r="C10" s="27"/>
      <c r="D10" s="28">
        <v>53</v>
      </c>
      <c r="F10" s="29">
        <v>42425</v>
      </c>
      <c r="G10" s="30">
        <f t="shared" si="0"/>
        <v>42036</v>
      </c>
      <c r="I10" s="32">
        <f t="shared" si="1"/>
        <v>0</v>
      </c>
      <c r="J10" s="32">
        <f t="shared" si="1"/>
        <v>53</v>
      </c>
      <c r="K10" s="32">
        <f t="shared" si="1"/>
        <v>0</v>
      </c>
      <c r="L10" s="32">
        <f t="shared" si="1"/>
        <v>0</v>
      </c>
      <c r="M10" s="32">
        <f t="shared" si="1"/>
        <v>0</v>
      </c>
      <c r="N10" s="32">
        <f t="shared" si="1"/>
        <v>0</v>
      </c>
      <c r="O10" s="32">
        <f t="shared" si="1"/>
        <v>0</v>
      </c>
      <c r="P10" s="32">
        <f t="shared" si="1"/>
        <v>0</v>
      </c>
      <c r="Q10" s="32">
        <f t="shared" si="1"/>
        <v>0</v>
      </c>
      <c r="R10" s="32">
        <f t="shared" si="1"/>
        <v>0</v>
      </c>
      <c r="S10" s="32">
        <f t="shared" si="1"/>
        <v>0</v>
      </c>
      <c r="T10" s="32">
        <f t="shared" si="1"/>
        <v>0</v>
      </c>
      <c r="U10" s="24"/>
      <c r="V10" s="31">
        <f t="shared" si="2"/>
        <v>53</v>
      </c>
      <c r="W10" s="28">
        <v>53</v>
      </c>
      <c r="X10" s="4"/>
      <c r="Y10" s="31">
        <v>0</v>
      </c>
      <c r="Z10" s="32">
        <v>0</v>
      </c>
      <c r="AA10" s="32">
        <v>0</v>
      </c>
      <c r="AB10" s="32">
        <f t="shared" si="3"/>
        <v>0</v>
      </c>
      <c r="AC10" s="33">
        <f t="shared" si="4"/>
        <v>0</v>
      </c>
      <c r="AE10" s="34"/>
    </row>
    <row r="11" spans="1:31" x14ac:dyDescent="0.2">
      <c r="B11" s="27" t="s">
        <v>67</v>
      </c>
      <c r="C11" s="27"/>
      <c r="D11" s="28">
        <v>483</v>
      </c>
      <c r="F11" s="29">
        <v>42425</v>
      </c>
      <c r="G11" s="30">
        <f t="shared" si="0"/>
        <v>42036</v>
      </c>
      <c r="I11" s="32">
        <f t="shared" si="1"/>
        <v>0</v>
      </c>
      <c r="J11" s="32">
        <v>483</v>
      </c>
      <c r="K11" s="32">
        <f t="shared" si="1"/>
        <v>0</v>
      </c>
      <c r="L11" s="32">
        <f t="shared" si="1"/>
        <v>0</v>
      </c>
      <c r="M11" s="32">
        <f t="shared" si="1"/>
        <v>0</v>
      </c>
      <c r="N11" s="32">
        <f t="shared" si="1"/>
        <v>0</v>
      </c>
      <c r="O11" s="32">
        <f t="shared" si="1"/>
        <v>0</v>
      </c>
      <c r="P11" s="32">
        <f t="shared" si="1"/>
        <v>0</v>
      </c>
      <c r="Q11" s="32">
        <f t="shared" si="1"/>
        <v>0</v>
      </c>
      <c r="R11" s="32">
        <f t="shared" si="1"/>
        <v>0</v>
      </c>
      <c r="S11" s="32">
        <f t="shared" si="1"/>
        <v>0</v>
      </c>
      <c r="T11" s="32">
        <f t="shared" si="1"/>
        <v>0</v>
      </c>
      <c r="U11" s="24"/>
      <c r="V11" s="31">
        <f t="shared" si="2"/>
        <v>483</v>
      </c>
      <c r="W11" s="28">
        <v>483</v>
      </c>
      <c r="X11" s="4"/>
      <c r="Y11" s="31">
        <v>0</v>
      </c>
      <c r="Z11" s="32">
        <v>0</v>
      </c>
      <c r="AA11" s="32">
        <v>0</v>
      </c>
      <c r="AB11" s="32">
        <f t="shared" si="3"/>
        <v>0</v>
      </c>
      <c r="AC11" s="33">
        <f t="shared" si="4"/>
        <v>0</v>
      </c>
      <c r="AE11" s="34"/>
    </row>
    <row r="12" spans="1:31" x14ac:dyDescent="0.2">
      <c r="A12" s="35"/>
      <c r="B12" s="27" t="s">
        <v>68</v>
      </c>
      <c r="C12" s="27"/>
      <c r="D12" s="28">
        <v>235</v>
      </c>
      <c r="F12" s="29">
        <v>42688</v>
      </c>
      <c r="G12" s="30">
        <f t="shared" si="0"/>
        <v>42309</v>
      </c>
      <c r="I12" s="32">
        <v>0</v>
      </c>
      <c r="J12" s="32">
        <f t="shared" ref="J12:T18" si="5">IF(J$5=$G12,$D12,0)</f>
        <v>0</v>
      </c>
      <c r="K12" s="32">
        <f t="shared" si="5"/>
        <v>0</v>
      </c>
      <c r="L12" s="32">
        <f t="shared" si="5"/>
        <v>0</v>
      </c>
      <c r="M12" s="32">
        <f t="shared" si="5"/>
        <v>0</v>
      </c>
      <c r="N12" s="32">
        <f t="shared" si="5"/>
        <v>0</v>
      </c>
      <c r="O12" s="32">
        <f t="shared" si="5"/>
        <v>0</v>
      </c>
      <c r="P12" s="32">
        <f t="shared" si="5"/>
        <v>0</v>
      </c>
      <c r="Q12" s="32">
        <f t="shared" si="5"/>
        <v>0</v>
      </c>
      <c r="R12" s="32">
        <f t="shared" si="5"/>
        <v>0</v>
      </c>
      <c r="S12" s="32">
        <f t="shared" si="5"/>
        <v>235</v>
      </c>
      <c r="T12" s="32">
        <f t="shared" si="5"/>
        <v>0</v>
      </c>
      <c r="U12" s="24"/>
      <c r="V12" s="31">
        <f t="shared" si="2"/>
        <v>235</v>
      </c>
      <c r="W12" s="28">
        <v>235</v>
      </c>
      <c r="X12" s="4"/>
      <c r="Y12" s="31">
        <v>0</v>
      </c>
      <c r="Z12" s="32">
        <v>0</v>
      </c>
      <c r="AA12" s="32">
        <v>0</v>
      </c>
      <c r="AB12" s="32">
        <f t="shared" si="3"/>
        <v>0</v>
      </c>
      <c r="AC12" s="33">
        <f t="shared" si="4"/>
        <v>0</v>
      </c>
    </row>
    <row r="13" spans="1:31" x14ac:dyDescent="0.2">
      <c r="B13" s="27" t="s">
        <v>69</v>
      </c>
      <c r="C13" s="27"/>
      <c r="D13" s="28">
        <v>680</v>
      </c>
      <c r="F13" s="29">
        <v>42422</v>
      </c>
      <c r="G13" s="30">
        <f t="shared" si="0"/>
        <v>42036</v>
      </c>
      <c r="I13" s="32">
        <f t="shared" ref="I13:I18" si="6">IF(I$5=$G13,$D13,0)</f>
        <v>0</v>
      </c>
      <c r="J13" s="32">
        <f t="shared" si="5"/>
        <v>680</v>
      </c>
      <c r="K13" s="32">
        <f t="shared" si="5"/>
        <v>0</v>
      </c>
      <c r="L13" s="32">
        <f t="shared" si="5"/>
        <v>0</v>
      </c>
      <c r="M13" s="32">
        <f t="shared" si="5"/>
        <v>0</v>
      </c>
      <c r="N13" s="32">
        <f t="shared" si="5"/>
        <v>0</v>
      </c>
      <c r="O13" s="32">
        <f t="shared" si="5"/>
        <v>0</v>
      </c>
      <c r="P13" s="32">
        <f t="shared" si="5"/>
        <v>0</v>
      </c>
      <c r="Q13" s="32">
        <f t="shared" si="5"/>
        <v>0</v>
      </c>
      <c r="R13" s="32">
        <f t="shared" si="5"/>
        <v>0</v>
      </c>
      <c r="S13" s="32">
        <f t="shared" si="5"/>
        <v>0</v>
      </c>
      <c r="T13" s="32">
        <f t="shared" si="5"/>
        <v>0</v>
      </c>
      <c r="U13" s="24"/>
      <c r="V13" s="31">
        <f t="shared" si="2"/>
        <v>680</v>
      </c>
      <c r="W13" s="28">
        <v>680</v>
      </c>
      <c r="X13" s="4"/>
      <c r="Y13" s="31">
        <v>0</v>
      </c>
      <c r="Z13" s="32">
        <v>0</v>
      </c>
      <c r="AA13" s="32">
        <v>0</v>
      </c>
      <c r="AB13" s="32">
        <f t="shared" si="3"/>
        <v>0</v>
      </c>
      <c r="AC13" s="33">
        <f t="shared" si="4"/>
        <v>0</v>
      </c>
    </row>
    <row r="14" spans="1:31" x14ac:dyDescent="0.2">
      <c r="B14" s="27" t="s">
        <v>70</v>
      </c>
      <c r="C14" s="27"/>
      <c r="D14" s="28">
        <v>175</v>
      </c>
      <c r="F14" s="29">
        <v>42453</v>
      </c>
      <c r="G14" s="30">
        <f t="shared" si="0"/>
        <v>42064</v>
      </c>
      <c r="I14" s="32">
        <f t="shared" si="6"/>
        <v>0</v>
      </c>
      <c r="J14" s="32">
        <f t="shared" si="5"/>
        <v>0</v>
      </c>
      <c r="K14" s="32">
        <f t="shared" si="5"/>
        <v>175</v>
      </c>
      <c r="L14" s="32">
        <f t="shared" si="5"/>
        <v>0</v>
      </c>
      <c r="M14" s="32">
        <f t="shared" si="5"/>
        <v>0</v>
      </c>
      <c r="N14" s="32">
        <f t="shared" si="5"/>
        <v>0</v>
      </c>
      <c r="O14" s="32">
        <f t="shared" si="5"/>
        <v>0</v>
      </c>
      <c r="P14" s="32">
        <f t="shared" si="5"/>
        <v>0</v>
      </c>
      <c r="Q14" s="32">
        <f t="shared" si="5"/>
        <v>0</v>
      </c>
      <c r="R14" s="32">
        <f t="shared" si="5"/>
        <v>0</v>
      </c>
      <c r="S14" s="32">
        <f t="shared" si="5"/>
        <v>0</v>
      </c>
      <c r="T14" s="32">
        <f t="shared" si="5"/>
        <v>0</v>
      </c>
      <c r="U14" s="24"/>
      <c r="V14" s="31">
        <f t="shared" si="2"/>
        <v>175</v>
      </c>
      <c r="W14" s="28">
        <v>175</v>
      </c>
      <c r="X14" s="4"/>
      <c r="Y14" s="31">
        <v>0</v>
      </c>
      <c r="Z14" s="32">
        <v>0</v>
      </c>
      <c r="AA14" s="32">
        <v>0</v>
      </c>
      <c r="AB14" s="32">
        <f t="shared" si="3"/>
        <v>0</v>
      </c>
      <c r="AC14" s="33">
        <f t="shared" si="4"/>
        <v>0</v>
      </c>
      <c r="AE14" s="34"/>
    </row>
    <row r="15" spans="1:31" x14ac:dyDescent="0.2">
      <c r="B15" s="27" t="s">
        <v>71</v>
      </c>
      <c r="C15" s="27"/>
      <c r="D15" s="28">
        <v>882</v>
      </c>
      <c r="F15" s="29">
        <v>42710</v>
      </c>
      <c r="G15" s="30">
        <f t="shared" si="0"/>
        <v>42339</v>
      </c>
      <c r="I15" s="32">
        <f t="shared" si="6"/>
        <v>0</v>
      </c>
      <c r="J15" s="32">
        <f t="shared" si="5"/>
        <v>0</v>
      </c>
      <c r="K15" s="32">
        <f t="shared" si="5"/>
        <v>0</v>
      </c>
      <c r="L15" s="32">
        <f t="shared" si="5"/>
        <v>0</v>
      </c>
      <c r="M15" s="32">
        <v>0</v>
      </c>
      <c r="N15" s="32">
        <f t="shared" si="5"/>
        <v>0</v>
      </c>
      <c r="O15" s="32">
        <f t="shared" si="5"/>
        <v>0</v>
      </c>
      <c r="P15" s="32">
        <f t="shared" si="5"/>
        <v>0</v>
      </c>
      <c r="Q15" s="32">
        <f t="shared" si="5"/>
        <v>0</v>
      </c>
      <c r="R15" s="32">
        <f t="shared" si="5"/>
        <v>0</v>
      </c>
      <c r="S15" s="32">
        <f t="shared" si="5"/>
        <v>0</v>
      </c>
      <c r="T15" s="32">
        <f t="shared" si="5"/>
        <v>882</v>
      </c>
      <c r="U15" s="24"/>
      <c r="V15" s="31">
        <f t="shared" si="2"/>
        <v>882</v>
      </c>
      <c r="W15" s="28">
        <v>882</v>
      </c>
      <c r="X15" s="4"/>
      <c r="Y15" s="31">
        <v>0</v>
      </c>
      <c r="Z15" s="32">
        <v>0</v>
      </c>
      <c r="AA15" s="32"/>
      <c r="AB15" s="32">
        <f t="shared" si="3"/>
        <v>0</v>
      </c>
      <c r="AC15" s="33">
        <f t="shared" si="4"/>
        <v>0</v>
      </c>
    </row>
    <row r="16" spans="1:31" x14ac:dyDescent="0.2">
      <c r="B16" s="36" t="s">
        <v>72</v>
      </c>
      <c r="C16" s="36"/>
      <c r="D16" s="37">
        <v>728</v>
      </c>
      <c r="F16" s="38" t="s">
        <v>73</v>
      </c>
      <c r="G16" s="39" t="str">
        <f t="shared" si="0"/>
        <v/>
      </c>
      <c r="I16" s="41">
        <f t="shared" si="6"/>
        <v>0</v>
      </c>
      <c r="J16" s="41">
        <f t="shared" si="5"/>
        <v>0</v>
      </c>
      <c r="K16" s="41">
        <f t="shared" si="5"/>
        <v>0</v>
      </c>
      <c r="L16" s="41">
        <f t="shared" si="5"/>
        <v>0</v>
      </c>
      <c r="M16" s="41">
        <f>IF(M$5=$G16,$D16,0)</f>
        <v>0</v>
      </c>
      <c r="N16" s="41">
        <f t="shared" si="5"/>
        <v>0</v>
      </c>
      <c r="O16" s="41">
        <f t="shared" si="5"/>
        <v>0</v>
      </c>
      <c r="P16" s="41">
        <f t="shared" si="5"/>
        <v>0</v>
      </c>
      <c r="Q16" s="41">
        <f t="shared" si="5"/>
        <v>0</v>
      </c>
      <c r="R16" s="41">
        <f t="shared" si="5"/>
        <v>0</v>
      </c>
      <c r="S16" s="41">
        <f t="shared" si="5"/>
        <v>0</v>
      </c>
      <c r="T16" s="41">
        <f t="shared" si="5"/>
        <v>0</v>
      </c>
      <c r="U16" s="24"/>
      <c r="V16" s="40">
        <f t="shared" si="2"/>
        <v>0</v>
      </c>
      <c r="W16" s="42">
        <v>1536</v>
      </c>
      <c r="X16" s="4"/>
      <c r="Y16" s="40"/>
      <c r="Z16" s="32">
        <v>323</v>
      </c>
      <c r="AA16" s="41">
        <v>485</v>
      </c>
      <c r="AB16" s="41">
        <f t="shared" si="3"/>
        <v>728</v>
      </c>
      <c r="AC16" s="43">
        <f>SUM(Y16:AB16)-Z16</f>
        <v>1213</v>
      </c>
      <c r="AE16" s="1" t="s">
        <v>74</v>
      </c>
    </row>
    <row r="17" spans="1:31" x14ac:dyDescent="0.2">
      <c r="B17" s="27" t="s">
        <v>75</v>
      </c>
      <c r="C17" s="27"/>
      <c r="D17" s="28">
        <v>825</v>
      </c>
      <c r="F17" s="29">
        <v>42713</v>
      </c>
      <c r="G17" s="30">
        <f t="shared" si="0"/>
        <v>42339</v>
      </c>
      <c r="I17" s="32">
        <f t="shared" si="6"/>
        <v>0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>IF(M$5=$G17,$D17,0)</f>
        <v>0</v>
      </c>
      <c r="N17" s="32">
        <f t="shared" si="5"/>
        <v>0</v>
      </c>
      <c r="O17" s="32">
        <f t="shared" si="5"/>
        <v>0</v>
      </c>
      <c r="P17" s="32">
        <f t="shared" si="5"/>
        <v>0</v>
      </c>
      <c r="Q17" s="32">
        <f t="shared" si="5"/>
        <v>0</v>
      </c>
      <c r="R17" s="32">
        <f t="shared" si="5"/>
        <v>0</v>
      </c>
      <c r="S17" s="32">
        <f t="shared" si="5"/>
        <v>0</v>
      </c>
      <c r="T17" s="32">
        <f t="shared" si="5"/>
        <v>825</v>
      </c>
      <c r="U17" s="24"/>
      <c r="V17" s="31">
        <f t="shared" si="2"/>
        <v>825</v>
      </c>
      <c r="W17" s="28">
        <v>825</v>
      </c>
      <c r="X17" s="4"/>
      <c r="Y17" s="31"/>
      <c r="Z17" s="32">
        <v>0</v>
      </c>
      <c r="AA17" s="32">
        <v>0</v>
      </c>
      <c r="AB17" s="32">
        <f t="shared" si="3"/>
        <v>0</v>
      </c>
      <c r="AC17" s="33">
        <f t="shared" si="4"/>
        <v>0</v>
      </c>
    </row>
    <row r="18" spans="1:31" x14ac:dyDescent="0.2">
      <c r="B18" s="44" t="s">
        <v>76</v>
      </c>
      <c r="C18" s="44"/>
      <c r="D18" s="45">
        <v>545</v>
      </c>
      <c r="F18" s="46">
        <v>42426</v>
      </c>
      <c r="G18" s="47">
        <f t="shared" si="0"/>
        <v>42036</v>
      </c>
      <c r="I18" s="49">
        <f t="shared" si="6"/>
        <v>0</v>
      </c>
      <c r="J18" s="49">
        <f t="shared" si="5"/>
        <v>545</v>
      </c>
      <c r="K18" s="49">
        <f t="shared" si="5"/>
        <v>0</v>
      </c>
      <c r="L18" s="49">
        <f t="shared" si="5"/>
        <v>0</v>
      </c>
      <c r="M18" s="49">
        <f>IF(M$5=$G18,$D18,0)</f>
        <v>0</v>
      </c>
      <c r="N18" s="49">
        <f t="shared" si="5"/>
        <v>0</v>
      </c>
      <c r="O18" s="49">
        <f t="shared" si="5"/>
        <v>0</v>
      </c>
      <c r="P18" s="49">
        <f t="shared" si="5"/>
        <v>0</v>
      </c>
      <c r="Q18" s="49">
        <f t="shared" si="5"/>
        <v>0</v>
      </c>
      <c r="R18" s="49">
        <f t="shared" si="5"/>
        <v>0</v>
      </c>
      <c r="S18" s="49">
        <f t="shared" si="5"/>
        <v>0</v>
      </c>
      <c r="T18" s="49">
        <f t="shared" si="5"/>
        <v>0</v>
      </c>
      <c r="V18" s="48">
        <f t="shared" si="2"/>
        <v>545</v>
      </c>
      <c r="W18" s="45">
        <v>545</v>
      </c>
      <c r="X18" s="4"/>
      <c r="Y18" s="48">
        <v>0</v>
      </c>
      <c r="Z18" s="49">
        <v>0</v>
      </c>
      <c r="AA18" s="49">
        <v>0</v>
      </c>
      <c r="AB18" s="49">
        <f t="shared" si="3"/>
        <v>0</v>
      </c>
      <c r="AC18" s="50">
        <f t="shared" si="4"/>
        <v>0</v>
      </c>
      <c r="AE18" s="34"/>
    </row>
    <row r="19" spans="1:31" ht="10.5" thickBot="1" x14ac:dyDescent="0.25">
      <c r="D19" s="51">
        <f>SUM(D6:D18)</f>
        <v>7049</v>
      </c>
      <c r="F19" s="52"/>
      <c r="G19" s="53"/>
      <c r="I19" s="51">
        <f t="shared" ref="I19:T19" si="7">SUM(I6:I18)</f>
        <v>0</v>
      </c>
      <c r="J19" s="51">
        <f t="shared" si="7"/>
        <v>1935</v>
      </c>
      <c r="K19" s="51">
        <f t="shared" si="7"/>
        <v>175</v>
      </c>
      <c r="L19" s="51">
        <f t="shared" si="7"/>
        <v>0</v>
      </c>
      <c r="M19" s="51">
        <f t="shared" si="7"/>
        <v>0</v>
      </c>
      <c r="N19" s="51">
        <f t="shared" si="7"/>
        <v>0</v>
      </c>
      <c r="O19" s="51">
        <f t="shared" si="7"/>
        <v>0</v>
      </c>
      <c r="P19" s="51">
        <f t="shared" si="7"/>
        <v>0</v>
      </c>
      <c r="Q19" s="51">
        <f t="shared" si="7"/>
        <v>0</v>
      </c>
      <c r="R19" s="51">
        <f t="shared" si="7"/>
        <v>1798</v>
      </c>
      <c r="S19" s="51">
        <f t="shared" si="7"/>
        <v>545</v>
      </c>
      <c r="T19" s="51">
        <f t="shared" si="7"/>
        <v>1868</v>
      </c>
      <c r="V19" s="54">
        <f>SUM(V6:V18)</f>
        <v>6321</v>
      </c>
      <c r="W19" s="55">
        <f>SUM(W6:W18)</f>
        <v>8260</v>
      </c>
      <c r="X19" s="4"/>
      <c r="Y19" s="54">
        <f>SUM(Y6:Y18)</f>
        <v>0</v>
      </c>
      <c r="Z19" s="51">
        <f>SUM(Z6:Z18)</f>
        <v>323</v>
      </c>
      <c r="AA19" s="51">
        <f>SUM(AA6:AA18)</f>
        <v>888</v>
      </c>
      <c r="AB19" s="51">
        <f>SUM(AB6:AB18)</f>
        <v>889</v>
      </c>
      <c r="AC19" s="56">
        <f t="shared" si="4"/>
        <v>2100</v>
      </c>
      <c r="AE19" s="57"/>
    </row>
    <row r="20" spans="1:31" x14ac:dyDescent="0.2">
      <c r="D20" s="2"/>
      <c r="E20" s="24"/>
      <c r="F20" s="52"/>
      <c r="G20" s="53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4"/>
      <c r="V20" s="59"/>
      <c r="W20" s="59"/>
      <c r="X20" s="4"/>
      <c r="Y20" s="59"/>
      <c r="Z20" s="2"/>
      <c r="AA20" s="58"/>
      <c r="AB20" s="58"/>
      <c r="AC20" s="58"/>
      <c r="AD20" s="5"/>
      <c r="AE20" s="57"/>
    </row>
    <row r="21" spans="1:31" ht="11" thickBot="1" x14ac:dyDescent="0.3">
      <c r="A21" s="8" t="s">
        <v>77</v>
      </c>
      <c r="B21" s="9"/>
      <c r="C21" s="9"/>
      <c r="D21" s="51"/>
      <c r="E21" s="24"/>
      <c r="F21" s="16"/>
      <c r="G21" s="13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24"/>
      <c r="V21" s="51"/>
      <c r="W21" s="51"/>
      <c r="X21" s="4"/>
      <c r="Y21" s="51"/>
      <c r="Z21" s="51"/>
      <c r="AA21" s="51"/>
      <c r="AB21" s="51"/>
      <c r="AC21" s="51"/>
      <c r="AD21" s="5"/>
      <c r="AE21" s="57"/>
    </row>
    <row r="22" spans="1:31" x14ac:dyDescent="0.2">
      <c r="B22" s="27" t="s">
        <v>78</v>
      </c>
      <c r="C22" s="27"/>
      <c r="D22" s="28">
        <v>4667</v>
      </c>
      <c r="F22" s="29">
        <v>42429</v>
      </c>
      <c r="G22" s="30">
        <f t="shared" ref="G22:G34" si="8">IFERROR(DATE(2015,MONTH(F22),1),"")</f>
        <v>42036</v>
      </c>
      <c r="I22" s="32">
        <f t="shared" ref="I22:O34" si="9">IF(I$5=$G22,$D22,0)</f>
        <v>0</v>
      </c>
      <c r="J22" s="32">
        <v>4667</v>
      </c>
      <c r="K22" s="32">
        <f t="shared" si="9"/>
        <v>0</v>
      </c>
      <c r="L22" s="32">
        <v>0</v>
      </c>
      <c r="M22" s="32">
        <f t="shared" ref="M22:T34" si="10">IF(M$5=$G22,$D22,0)</f>
        <v>0</v>
      </c>
      <c r="N22" s="32">
        <f t="shared" si="10"/>
        <v>0</v>
      </c>
      <c r="O22" s="32">
        <f t="shared" si="10"/>
        <v>0</v>
      </c>
      <c r="P22" s="32">
        <f t="shared" si="10"/>
        <v>0</v>
      </c>
      <c r="Q22" s="32">
        <f t="shared" si="10"/>
        <v>0</v>
      </c>
      <c r="R22" s="32">
        <f t="shared" si="10"/>
        <v>0</v>
      </c>
      <c r="S22" s="32">
        <f t="shared" si="10"/>
        <v>0</v>
      </c>
      <c r="T22" s="32">
        <f t="shared" si="10"/>
        <v>0</v>
      </c>
      <c r="U22" s="24"/>
      <c r="V22" s="60">
        <f>SUM(I22:U22)</f>
        <v>4667</v>
      </c>
      <c r="W22" s="19">
        <v>4667</v>
      </c>
      <c r="X22" s="4"/>
      <c r="Y22" s="31">
        <v>0</v>
      </c>
      <c r="Z22" s="32">
        <v>0</v>
      </c>
      <c r="AA22" s="32">
        <v>0</v>
      </c>
      <c r="AB22" s="32">
        <f t="shared" ref="AB22:AB28" si="11">D22-V22</f>
        <v>0</v>
      </c>
      <c r="AC22" s="33">
        <f t="shared" si="4"/>
        <v>0</v>
      </c>
      <c r="AE22" s="61"/>
    </row>
    <row r="23" spans="1:31" x14ac:dyDescent="0.2">
      <c r="B23" s="27" t="s">
        <v>79</v>
      </c>
      <c r="C23" s="27"/>
      <c r="D23" s="28">
        <v>3200</v>
      </c>
      <c r="E23" s="24"/>
      <c r="F23" s="29">
        <v>42601</v>
      </c>
      <c r="G23" s="30" t="s">
        <v>80</v>
      </c>
      <c r="I23" s="32">
        <f t="shared" si="9"/>
        <v>0</v>
      </c>
      <c r="J23" s="32">
        <f t="shared" si="9"/>
        <v>0</v>
      </c>
      <c r="K23" s="32">
        <f t="shared" si="9"/>
        <v>0</v>
      </c>
      <c r="L23" s="32">
        <f t="shared" si="9"/>
        <v>0</v>
      </c>
      <c r="M23" s="32">
        <f t="shared" si="9"/>
        <v>0</v>
      </c>
      <c r="N23" s="32">
        <f t="shared" si="9"/>
        <v>0</v>
      </c>
      <c r="O23" s="32">
        <v>0</v>
      </c>
      <c r="P23" s="32">
        <v>3200</v>
      </c>
      <c r="Q23" s="32">
        <f t="shared" si="10"/>
        <v>0</v>
      </c>
      <c r="R23" s="32">
        <f t="shared" si="10"/>
        <v>0</v>
      </c>
      <c r="S23" s="32">
        <f t="shared" si="10"/>
        <v>0</v>
      </c>
      <c r="T23" s="32">
        <f t="shared" si="10"/>
        <v>0</v>
      </c>
      <c r="U23" s="24"/>
      <c r="V23" s="31">
        <v>3200</v>
      </c>
      <c r="W23" s="28">
        <v>3200</v>
      </c>
      <c r="X23" s="4"/>
      <c r="Y23" s="31">
        <v>0</v>
      </c>
      <c r="Z23" s="32">
        <v>0</v>
      </c>
      <c r="AA23" s="32">
        <v>0</v>
      </c>
      <c r="AB23" s="32">
        <f t="shared" si="11"/>
        <v>0</v>
      </c>
      <c r="AC23" s="33">
        <f t="shared" si="4"/>
        <v>0</v>
      </c>
    </row>
    <row r="24" spans="1:31" x14ac:dyDescent="0.2">
      <c r="B24" s="27" t="s">
        <v>81</v>
      </c>
      <c r="C24" s="27"/>
      <c r="D24" s="28">
        <v>5809</v>
      </c>
      <c r="E24" s="24"/>
      <c r="F24" s="29">
        <v>42619</v>
      </c>
      <c r="G24" s="30" t="s">
        <v>82</v>
      </c>
      <c r="I24" s="32">
        <f t="shared" si="9"/>
        <v>0</v>
      </c>
      <c r="J24" s="32">
        <f t="shared" si="9"/>
        <v>0</v>
      </c>
      <c r="K24" s="32">
        <f t="shared" si="9"/>
        <v>0</v>
      </c>
      <c r="L24" s="32">
        <f t="shared" si="9"/>
        <v>0</v>
      </c>
      <c r="M24" s="32">
        <f t="shared" si="9"/>
        <v>0</v>
      </c>
      <c r="N24" s="32">
        <f t="shared" si="9"/>
        <v>0</v>
      </c>
      <c r="O24" s="32">
        <f>IF(O$5=$G24,$D24,0)</f>
        <v>0</v>
      </c>
      <c r="P24" s="32">
        <f>IF(P$5=$G24,$D24,0)</f>
        <v>0</v>
      </c>
      <c r="Q24" s="32">
        <v>5809</v>
      </c>
      <c r="R24" s="32">
        <f t="shared" si="10"/>
        <v>0</v>
      </c>
      <c r="S24" s="32">
        <f t="shared" si="10"/>
        <v>0</v>
      </c>
      <c r="T24" s="32">
        <f t="shared" si="10"/>
        <v>0</v>
      </c>
      <c r="U24" s="24"/>
      <c r="V24" s="31">
        <f t="shared" ref="V24:V34" si="12">SUM(I24:U24)</f>
        <v>5809</v>
      </c>
      <c r="W24" s="28">
        <v>5809</v>
      </c>
      <c r="X24" s="4"/>
      <c r="Y24" s="31">
        <v>0</v>
      </c>
      <c r="Z24" s="32">
        <v>0</v>
      </c>
      <c r="AA24" s="32">
        <v>0</v>
      </c>
      <c r="AB24" s="32">
        <f t="shared" si="11"/>
        <v>0</v>
      </c>
      <c r="AC24" s="33">
        <f t="shared" si="4"/>
        <v>0</v>
      </c>
      <c r="AE24" s="34"/>
    </row>
    <row r="25" spans="1:31" x14ac:dyDescent="0.2">
      <c r="B25" s="27" t="s">
        <v>83</v>
      </c>
      <c r="C25" s="27"/>
      <c r="D25" s="28">
        <v>4713</v>
      </c>
      <c r="E25" s="24"/>
      <c r="F25" s="29">
        <v>42608</v>
      </c>
      <c r="G25" s="30" t="s">
        <v>80</v>
      </c>
      <c r="I25" s="32">
        <f t="shared" si="9"/>
        <v>0</v>
      </c>
      <c r="J25" s="32">
        <f t="shared" si="9"/>
        <v>0</v>
      </c>
      <c r="K25" s="32">
        <f t="shared" si="9"/>
        <v>0</v>
      </c>
      <c r="L25" s="32">
        <f t="shared" si="9"/>
        <v>0</v>
      </c>
      <c r="M25" s="32">
        <f t="shared" si="9"/>
        <v>0</v>
      </c>
      <c r="N25" s="32">
        <f t="shared" si="9"/>
        <v>0</v>
      </c>
      <c r="O25" s="32"/>
      <c r="P25" s="32">
        <v>4713</v>
      </c>
      <c r="Q25" s="32">
        <f t="shared" si="10"/>
        <v>0</v>
      </c>
      <c r="R25" s="32">
        <f t="shared" si="10"/>
        <v>0</v>
      </c>
      <c r="S25" s="32">
        <f t="shared" si="10"/>
        <v>0</v>
      </c>
      <c r="T25" s="32">
        <f t="shared" si="10"/>
        <v>0</v>
      </c>
      <c r="U25" s="24"/>
      <c r="V25" s="31">
        <f t="shared" si="12"/>
        <v>4713</v>
      </c>
      <c r="W25" s="28">
        <v>4713</v>
      </c>
      <c r="X25" s="4"/>
      <c r="Y25" s="31">
        <v>0</v>
      </c>
      <c r="Z25" s="32">
        <v>0</v>
      </c>
      <c r="AA25" s="32">
        <v>0</v>
      </c>
      <c r="AB25" s="32">
        <f t="shared" si="11"/>
        <v>0</v>
      </c>
      <c r="AC25" s="33">
        <f t="shared" si="4"/>
        <v>0</v>
      </c>
      <c r="AE25" s="34"/>
    </row>
    <row r="26" spans="1:31" x14ac:dyDescent="0.2">
      <c r="A26" s="35"/>
      <c r="B26" s="27" t="s">
        <v>84</v>
      </c>
      <c r="C26" s="27"/>
      <c r="D26" s="28">
        <v>2340</v>
      </c>
      <c r="E26" s="24"/>
      <c r="F26" s="29">
        <v>42681</v>
      </c>
      <c r="G26" s="30">
        <f t="shared" si="8"/>
        <v>42309</v>
      </c>
      <c r="I26" s="32">
        <f t="shared" si="9"/>
        <v>0</v>
      </c>
      <c r="J26" s="32">
        <v>0</v>
      </c>
      <c r="K26" s="32">
        <v>0</v>
      </c>
      <c r="L26" s="32">
        <f t="shared" si="9"/>
        <v>0</v>
      </c>
      <c r="M26" s="32">
        <f t="shared" si="9"/>
        <v>0</v>
      </c>
      <c r="N26" s="32">
        <f t="shared" si="9"/>
        <v>0</v>
      </c>
      <c r="O26" s="32">
        <f t="shared" si="9"/>
        <v>0</v>
      </c>
      <c r="P26" s="32">
        <f>IF(P$5=$G26,$D26,0)</f>
        <v>0</v>
      </c>
      <c r="Q26" s="32">
        <f t="shared" si="10"/>
        <v>0</v>
      </c>
      <c r="R26" s="32">
        <f t="shared" si="10"/>
        <v>0</v>
      </c>
      <c r="S26" s="32">
        <f t="shared" si="10"/>
        <v>2340</v>
      </c>
      <c r="T26" s="32">
        <f t="shared" si="10"/>
        <v>0</v>
      </c>
      <c r="U26" s="24"/>
      <c r="V26" s="31">
        <f t="shared" si="12"/>
        <v>2340</v>
      </c>
      <c r="W26" s="28">
        <v>2340</v>
      </c>
      <c r="X26" s="4"/>
      <c r="Y26" s="31">
        <v>0</v>
      </c>
      <c r="Z26" s="32">
        <v>0</v>
      </c>
      <c r="AA26" s="32"/>
      <c r="AB26" s="32">
        <f t="shared" si="11"/>
        <v>0</v>
      </c>
      <c r="AC26" s="33">
        <f t="shared" si="4"/>
        <v>0</v>
      </c>
    </row>
    <row r="27" spans="1:31" ht="10.5" x14ac:dyDescent="0.25">
      <c r="A27" s="35"/>
      <c r="B27" s="62" t="s">
        <v>85</v>
      </c>
      <c r="C27" s="62"/>
      <c r="D27" s="63">
        <v>6225</v>
      </c>
      <c r="E27" s="24"/>
      <c r="F27" s="64">
        <v>42523</v>
      </c>
      <c r="G27" s="65">
        <f t="shared" si="8"/>
        <v>42156</v>
      </c>
      <c r="I27" s="67">
        <f t="shared" si="9"/>
        <v>0</v>
      </c>
      <c r="J27" s="67">
        <f t="shared" si="9"/>
        <v>0</v>
      </c>
      <c r="K27" s="67">
        <f t="shared" si="9"/>
        <v>0</v>
      </c>
      <c r="L27" s="67">
        <f t="shared" si="9"/>
        <v>0</v>
      </c>
      <c r="M27" s="67">
        <f t="shared" si="9"/>
        <v>0</v>
      </c>
      <c r="N27" s="67">
        <v>6213</v>
      </c>
      <c r="O27" s="67">
        <f t="shared" si="9"/>
        <v>0</v>
      </c>
      <c r="P27" s="67">
        <f>IF(P$5=$G27,$D27,0)</f>
        <v>0</v>
      </c>
      <c r="Q27" s="67">
        <f t="shared" si="10"/>
        <v>0</v>
      </c>
      <c r="R27" s="67">
        <f t="shared" si="10"/>
        <v>0</v>
      </c>
      <c r="S27" s="67">
        <f t="shared" si="10"/>
        <v>0</v>
      </c>
      <c r="T27" s="67">
        <f t="shared" si="10"/>
        <v>0</v>
      </c>
      <c r="U27" s="24"/>
      <c r="V27" s="66">
        <f t="shared" si="12"/>
        <v>6213</v>
      </c>
      <c r="W27" s="63">
        <v>6225</v>
      </c>
      <c r="X27" s="4"/>
      <c r="Y27" s="66">
        <v>0</v>
      </c>
      <c r="Z27" s="67">
        <v>0</v>
      </c>
      <c r="AA27" s="67">
        <v>0</v>
      </c>
      <c r="AB27" s="68">
        <f t="shared" si="11"/>
        <v>12</v>
      </c>
      <c r="AC27" s="69">
        <f t="shared" si="4"/>
        <v>12</v>
      </c>
      <c r="AE27" s="70" t="s">
        <v>86</v>
      </c>
    </row>
    <row r="28" spans="1:31" x14ac:dyDescent="0.2">
      <c r="A28" s="35"/>
      <c r="B28" s="27" t="s">
        <v>87</v>
      </c>
      <c r="C28" s="27"/>
      <c r="D28" s="28">
        <v>3626</v>
      </c>
      <c r="F28" s="29">
        <v>42429</v>
      </c>
      <c r="G28" s="30">
        <f t="shared" si="8"/>
        <v>42036</v>
      </c>
      <c r="I28" s="32">
        <f t="shared" si="9"/>
        <v>0</v>
      </c>
      <c r="J28" s="32">
        <f t="shared" si="9"/>
        <v>3626</v>
      </c>
      <c r="K28" s="32">
        <f t="shared" si="9"/>
        <v>0</v>
      </c>
      <c r="L28" s="32">
        <f t="shared" si="9"/>
        <v>0</v>
      </c>
      <c r="M28" s="32">
        <f t="shared" si="9"/>
        <v>0</v>
      </c>
      <c r="N28" s="32">
        <f t="shared" si="9"/>
        <v>0</v>
      </c>
      <c r="O28" s="32">
        <f t="shared" si="9"/>
        <v>0</v>
      </c>
      <c r="P28" s="32">
        <f>IF(P$5=$G28,$D28,0)</f>
        <v>0</v>
      </c>
      <c r="Q28" s="32">
        <f t="shared" si="10"/>
        <v>0</v>
      </c>
      <c r="R28" s="32">
        <f t="shared" si="10"/>
        <v>0</v>
      </c>
      <c r="S28" s="32">
        <f t="shared" si="10"/>
        <v>0</v>
      </c>
      <c r="T28" s="32">
        <f t="shared" si="10"/>
        <v>0</v>
      </c>
      <c r="U28" s="24"/>
      <c r="V28" s="31">
        <f t="shared" si="12"/>
        <v>3626</v>
      </c>
      <c r="W28" s="28">
        <v>3626</v>
      </c>
      <c r="X28" s="4"/>
      <c r="Y28" s="31">
        <v>0</v>
      </c>
      <c r="Z28" s="32">
        <v>0</v>
      </c>
      <c r="AA28" s="32">
        <v>0</v>
      </c>
      <c r="AB28" s="32">
        <f t="shared" si="11"/>
        <v>0</v>
      </c>
      <c r="AC28" s="33">
        <f t="shared" si="4"/>
        <v>0</v>
      </c>
      <c r="AE28" s="34"/>
    </row>
    <row r="29" spans="1:31" ht="16.5" customHeight="1" x14ac:dyDescent="0.2">
      <c r="A29" s="35"/>
      <c r="B29" s="27" t="s">
        <v>88</v>
      </c>
      <c r="C29" s="27"/>
      <c r="D29" s="28">
        <v>1160</v>
      </c>
      <c r="F29" s="29">
        <v>42430</v>
      </c>
      <c r="G29" s="30">
        <f t="shared" si="8"/>
        <v>42064</v>
      </c>
      <c r="I29" s="32">
        <f t="shared" si="9"/>
        <v>0</v>
      </c>
      <c r="J29" s="32">
        <f t="shared" si="9"/>
        <v>0</v>
      </c>
      <c r="K29" s="32">
        <v>1160</v>
      </c>
      <c r="L29" s="32">
        <v>0</v>
      </c>
      <c r="M29" s="32">
        <f t="shared" si="9"/>
        <v>0</v>
      </c>
      <c r="N29" s="32">
        <f t="shared" si="9"/>
        <v>0</v>
      </c>
      <c r="O29" s="32">
        <f t="shared" si="9"/>
        <v>0</v>
      </c>
      <c r="P29" s="32">
        <f>IF(P$5=$G29,$D29,0)</f>
        <v>0</v>
      </c>
      <c r="Q29" s="32">
        <f t="shared" si="10"/>
        <v>0</v>
      </c>
      <c r="R29" s="32">
        <f t="shared" si="10"/>
        <v>0</v>
      </c>
      <c r="S29" s="32">
        <f t="shared" si="10"/>
        <v>0</v>
      </c>
      <c r="T29" s="32">
        <f t="shared" si="10"/>
        <v>0</v>
      </c>
      <c r="U29" s="24"/>
      <c r="V29" s="31">
        <f t="shared" si="12"/>
        <v>1160</v>
      </c>
      <c r="W29" s="28">
        <v>1160</v>
      </c>
      <c r="X29" s="4"/>
      <c r="Y29" s="31">
        <v>0</v>
      </c>
      <c r="Z29" s="32">
        <v>0</v>
      </c>
      <c r="AA29" s="32">
        <v>0</v>
      </c>
      <c r="AB29" s="32"/>
      <c r="AC29" s="33"/>
      <c r="AE29" s="34"/>
    </row>
    <row r="30" spans="1:31" x14ac:dyDescent="0.2">
      <c r="A30" s="35"/>
      <c r="B30" s="27" t="s">
        <v>89</v>
      </c>
      <c r="C30" s="27"/>
      <c r="D30" s="28">
        <v>2217</v>
      </c>
      <c r="E30" s="24"/>
      <c r="F30" s="29">
        <v>42670</v>
      </c>
      <c r="G30" s="30">
        <f t="shared" si="8"/>
        <v>42278</v>
      </c>
      <c r="I30" s="32">
        <f t="shared" si="9"/>
        <v>0</v>
      </c>
      <c r="J30" s="32">
        <f t="shared" si="9"/>
        <v>0</v>
      </c>
      <c r="K30" s="32">
        <f t="shared" si="9"/>
        <v>0</v>
      </c>
      <c r="L30" s="32">
        <f>IF(L$5=$G30,$D30,0)</f>
        <v>0</v>
      </c>
      <c r="M30" s="32">
        <f t="shared" si="9"/>
        <v>0</v>
      </c>
      <c r="N30" s="32">
        <f t="shared" si="9"/>
        <v>0</v>
      </c>
      <c r="O30" s="32">
        <f t="shared" si="9"/>
        <v>0</v>
      </c>
      <c r="P30" s="32">
        <v>0</v>
      </c>
      <c r="Q30" s="32">
        <f t="shared" si="10"/>
        <v>0</v>
      </c>
      <c r="R30" s="32">
        <f t="shared" si="10"/>
        <v>2217</v>
      </c>
      <c r="S30" s="32">
        <f t="shared" si="10"/>
        <v>0</v>
      </c>
      <c r="T30" s="32">
        <f t="shared" si="10"/>
        <v>0</v>
      </c>
      <c r="U30" s="24"/>
      <c r="V30" s="31">
        <f t="shared" si="12"/>
        <v>2217</v>
      </c>
      <c r="W30" s="28">
        <v>2217</v>
      </c>
      <c r="X30" s="4"/>
      <c r="Y30" s="31">
        <v>0</v>
      </c>
      <c r="Z30" s="32">
        <v>0</v>
      </c>
      <c r="AA30" s="32">
        <v>0</v>
      </c>
      <c r="AB30" s="32">
        <f>D30-V30</f>
        <v>0</v>
      </c>
      <c r="AC30" s="33">
        <f t="shared" si="4"/>
        <v>0</v>
      </c>
    </row>
    <row r="31" spans="1:31" ht="10.5" x14ac:dyDescent="0.25">
      <c r="B31" s="62" t="s">
        <v>90</v>
      </c>
      <c r="C31" s="62"/>
      <c r="D31" s="63">
        <v>1901</v>
      </c>
      <c r="F31" s="64">
        <v>42467</v>
      </c>
      <c r="G31" s="65">
        <f t="shared" si="8"/>
        <v>42095</v>
      </c>
      <c r="I31" s="67">
        <f t="shared" si="9"/>
        <v>0</v>
      </c>
      <c r="J31" s="67">
        <f t="shared" si="9"/>
        <v>0</v>
      </c>
      <c r="K31" s="67">
        <f t="shared" si="9"/>
        <v>0</v>
      </c>
      <c r="L31" s="67">
        <v>1868</v>
      </c>
      <c r="M31" s="67">
        <f t="shared" si="9"/>
        <v>0</v>
      </c>
      <c r="N31" s="67">
        <f t="shared" si="9"/>
        <v>0</v>
      </c>
      <c r="O31" s="67">
        <f t="shared" si="9"/>
        <v>0</v>
      </c>
      <c r="P31" s="67">
        <f>IF(P$5=$G31,$D31,0)</f>
        <v>0</v>
      </c>
      <c r="Q31" s="67">
        <f t="shared" si="10"/>
        <v>0</v>
      </c>
      <c r="R31" s="67">
        <f t="shared" si="10"/>
        <v>0</v>
      </c>
      <c r="S31" s="67">
        <f t="shared" si="10"/>
        <v>0</v>
      </c>
      <c r="T31" s="67">
        <f t="shared" si="10"/>
        <v>0</v>
      </c>
      <c r="U31" s="24"/>
      <c r="V31" s="66">
        <f t="shared" si="12"/>
        <v>1868</v>
      </c>
      <c r="W31" s="63">
        <v>1901</v>
      </c>
      <c r="X31" s="4"/>
      <c r="Y31" s="66">
        <v>0</v>
      </c>
      <c r="Z31" s="67">
        <v>0</v>
      </c>
      <c r="AA31" s="67">
        <v>0</v>
      </c>
      <c r="AB31" s="68">
        <f>D31-V31</f>
        <v>33</v>
      </c>
      <c r="AC31" s="69">
        <f t="shared" si="4"/>
        <v>33</v>
      </c>
      <c r="AE31" s="70" t="s">
        <v>86</v>
      </c>
    </row>
    <row r="32" spans="1:31" x14ac:dyDescent="0.2">
      <c r="B32" s="27" t="s">
        <v>91</v>
      </c>
      <c r="C32" s="27"/>
      <c r="D32" s="28">
        <v>911</v>
      </c>
      <c r="F32" s="29">
        <v>42437</v>
      </c>
      <c r="G32" s="30">
        <f t="shared" si="8"/>
        <v>42064</v>
      </c>
      <c r="I32" s="32">
        <f t="shared" si="9"/>
        <v>0</v>
      </c>
      <c r="J32" s="32">
        <f t="shared" si="9"/>
        <v>0</v>
      </c>
      <c r="K32" s="32">
        <v>911</v>
      </c>
      <c r="L32" s="32">
        <f>IF(L$5=$G32,$D32,0)</f>
        <v>0</v>
      </c>
      <c r="M32" s="32">
        <f t="shared" si="9"/>
        <v>0</v>
      </c>
      <c r="N32" s="32">
        <f t="shared" si="9"/>
        <v>0</v>
      </c>
      <c r="O32" s="32">
        <f t="shared" si="9"/>
        <v>0</v>
      </c>
      <c r="P32" s="32">
        <f>IF(P$5=$G32,$D32,0)</f>
        <v>0</v>
      </c>
      <c r="Q32" s="32">
        <f t="shared" si="10"/>
        <v>0</v>
      </c>
      <c r="R32" s="32">
        <f t="shared" si="10"/>
        <v>0</v>
      </c>
      <c r="S32" s="32">
        <f t="shared" si="10"/>
        <v>0</v>
      </c>
      <c r="T32" s="32">
        <f t="shared" si="10"/>
        <v>0</v>
      </c>
      <c r="U32" s="24"/>
      <c r="V32" s="31">
        <f t="shared" si="12"/>
        <v>911</v>
      </c>
      <c r="W32" s="28">
        <v>911</v>
      </c>
      <c r="X32" s="4"/>
      <c r="Y32" s="31">
        <v>0</v>
      </c>
      <c r="Z32" s="32">
        <v>0</v>
      </c>
      <c r="AA32" s="32">
        <v>0</v>
      </c>
      <c r="AB32" s="32"/>
      <c r="AC32" s="33"/>
      <c r="AE32" s="34"/>
    </row>
    <row r="33" spans="2:31" x14ac:dyDescent="0.2">
      <c r="B33" s="27" t="s">
        <v>92</v>
      </c>
      <c r="C33" s="27"/>
      <c r="D33" s="28">
        <v>2399</v>
      </c>
      <c r="E33" s="24"/>
      <c r="F33" s="29">
        <v>42594</v>
      </c>
      <c r="G33" s="30">
        <f t="shared" si="8"/>
        <v>42217</v>
      </c>
      <c r="I33" s="32">
        <f t="shared" si="9"/>
        <v>0</v>
      </c>
      <c r="J33" s="32">
        <f t="shared" si="9"/>
        <v>0</v>
      </c>
      <c r="K33" s="32">
        <f t="shared" si="9"/>
        <v>0</v>
      </c>
      <c r="L33" s="32">
        <f>IF(L$5=$G33,$D33,0)</f>
        <v>0</v>
      </c>
      <c r="M33" s="32">
        <f t="shared" si="9"/>
        <v>0</v>
      </c>
      <c r="N33" s="32">
        <f t="shared" si="9"/>
        <v>0</v>
      </c>
      <c r="O33" s="32">
        <f t="shared" si="9"/>
        <v>0</v>
      </c>
      <c r="P33" s="32">
        <v>2399</v>
      </c>
      <c r="Q33" s="32">
        <f t="shared" si="10"/>
        <v>0</v>
      </c>
      <c r="R33" s="32">
        <f t="shared" si="10"/>
        <v>0</v>
      </c>
      <c r="S33" s="32">
        <f t="shared" si="10"/>
        <v>0</v>
      </c>
      <c r="T33" s="32">
        <f t="shared" si="10"/>
        <v>0</v>
      </c>
      <c r="U33" s="24"/>
      <c r="V33" s="31">
        <f t="shared" si="12"/>
        <v>2399</v>
      </c>
      <c r="W33" s="28">
        <v>2399</v>
      </c>
      <c r="X33" s="4"/>
      <c r="Y33" s="31">
        <v>0</v>
      </c>
      <c r="Z33" s="32">
        <v>0</v>
      </c>
      <c r="AA33" s="32">
        <v>0</v>
      </c>
      <c r="AB33" s="32">
        <f>D33-V33</f>
        <v>0</v>
      </c>
      <c r="AC33" s="33">
        <f t="shared" si="4"/>
        <v>0</v>
      </c>
    </row>
    <row r="34" spans="2:31" ht="10.5" thickBot="1" x14ac:dyDescent="0.25">
      <c r="B34" s="71" t="s">
        <v>93</v>
      </c>
      <c r="C34" s="71"/>
      <c r="D34" s="72">
        <v>57868</v>
      </c>
      <c r="E34" s="24"/>
      <c r="F34" s="73">
        <v>42667</v>
      </c>
      <c r="G34" s="74">
        <f t="shared" si="8"/>
        <v>42278</v>
      </c>
      <c r="I34" s="76">
        <f t="shared" si="9"/>
        <v>0</v>
      </c>
      <c r="J34" s="76">
        <f t="shared" si="9"/>
        <v>0</v>
      </c>
      <c r="K34" s="76">
        <f t="shared" si="9"/>
        <v>0</v>
      </c>
      <c r="L34" s="76">
        <f>IF(L$5=$G34,$D34,0)</f>
        <v>0</v>
      </c>
      <c r="M34" s="76">
        <f t="shared" si="9"/>
        <v>0</v>
      </c>
      <c r="N34" s="76">
        <f t="shared" si="9"/>
        <v>0</v>
      </c>
      <c r="O34" s="76">
        <f t="shared" si="9"/>
        <v>0</v>
      </c>
      <c r="P34" s="76">
        <f>IF(P$5=$G34,$D34,0)</f>
        <v>0</v>
      </c>
      <c r="Q34" s="76">
        <f t="shared" si="10"/>
        <v>0</v>
      </c>
      <c r="R34" s="76">
        <f t="shared" si="10"/>
        <v>57868</v>
      </c>
      <c r="S34" s="76">
        <f t="shared" si="10"/>
        <v>0</v>
      </c>
      <c r="T34" s="76">
        <f t="shared" si="10"/>
        <v>0</v>
      </c>
      <c r="U34" s="24"/>
      <c r="V34" s="75">
        <f t="shared" si="12"/>
        <v>57868</v>
      </c>
      <c r="W34" s="72">
        <v>57868</v>
      </c>
      <c r="X34" s="4"/>
      <c r="Y34" s="75">
        <v>0</v>
      </c>
      <c r="Z34" s="76">
        <v>0</v>
      </c>
      <c r="AA34" s="76">
        <v>0</v>
      </c>
      <c r="AB34" s="76">
        <f>D34-V34</f>
        <v>0</v>
      </c>
      <c r="AC34" s="77">
        <f t="shared" si="4"/>
        <v>0</v>
      </c>
      <c r="AE34" s="34"/>
    </row>
    <row r="35" spans="2:31" ht="10.5" thickBot="1" x14ac:dyDescent="0.25">
      <c r="D35" s="51">
        <f>SUM(D22:D34)</f>
        <v>97036</v>
      </c>
      <c r="I35" s="79">
        <f t="shared" ref="I35:T35" si="13">SUM(I22:I34)</f>
        <v>0</v>
      </c>
      <c r="J35" s="79">
        <f t="shared" si="13"/>
        <v>8293</v>
      </c>
      <c r="K35" s="79">
        <f t="shared" si="13"/>
        <v>2071</v>
      </c>
      <c r="L35" s="79">
        <f t="shared" si="13"/>
        <v>1868</v>
      </c>
      <c r="M35" s="79">
        <f t="shared" si="13"/>
        <v>0</v>
      </c>
      <c r="N35" s="79">
        <f t="shared" si="13"/>
        <v>6213</v>
      </c>
      <c r="O35" s="79">
        <f t="shared" si="13"/>
        <v>0</v>
      </c>
      <c r="P35" s="79">
        <f t="shared" si="13"/>
        <v>10312</v>
      </c>
      <c r="Q35" s="79">
        <f t="shared" si="13"/>
        <v>5809</v>
      </c>
      <c r="R35" s="79">
        <f t="shared" si="13"/>
        <v>60085</v>
      </c>
      <c r="S35" s="79">
        <f t="shared" si="13"/>
        <v>2340</v>
      </c>
      <c r="T35" s="79">
        <f t="shared" si="13"/>
        <v>0</v>
      </c>
      <c r="U35" s="81"/>
      <c r="V35" s="78">
        <f>SUM(V22:V34)</f>
        <v>96991</v>
      </c>
      <c r="W35" s="80">
        <f>SUM(W22:W34)</f>
        <v>97036</v>
      </c>
      <c r="X35" s="4"/>
      <c r="Y35" s="78">
        <f>SUM(Y22:Y34)</f>
        <v>0</v>
      </c>
      <c r="Z35" s="79">
        <f>SUM(Z22:Z34)</f>
        <v>0</v>
      </c>
      <c r="AA35" s="79">
        <f>SUM(AA22:AA34)</f>
        <v>0</v>
      </c>
      <c r="AB35" s="79">
        <f>SUM(AB22:AB34)</f>
        <v>45</v>
      </c>
      <c r="AC35" s="82">
        <f t="shared" si="4"/>
        <v>45</v>
      </c>
    </row>
    <row r="36" spans="2:31" ht="11" thickBot="1" x14ac:dyDescent="0.3">
      <c r="D36" s="83">
        <f>D19+D35</f>
        <v>104085</v>
      </c>
      <c r="E36" s="24"/>
      <c r="I36" s="85">
        <f t="shared" ref="I36:W36" si="14">I35+I19</f>
        <v>0</v>
      </c>
      <c r="J36" s="85">
        <f t="shared" si="14"/>
        <v>10228</v>
      </c>
      <c r="K36" s="85">
        <f t="shared" si="14"/>
        <v>2246</v>
      </c>
      <c r="L36" s="85">
        <f t="shared" si="14"/>
        <v>1868</v>
      </c>
      <c r="M36" s="85">
        <f t="shared" si="14"/>
        <v>0</v>
      </c>
      <c r="N36" s="85">
        <f t="shared" si="14"/>
        <v>6213</v>
      </c>
      <c r="O36" s="85">
        <f t="shared" si="14"/>
        <v>0</v>
      </c>
      <c r="P36" s="85">
        <f t="shared" si="14"/>
        <v>10312</v>
      </c>
      <c r="Q36" s="85">
        <f t="shared" si="14"/>
        <v>5809</v>
      </c>
      <c r="R36" s="85">
        <f t="shared" si="14"/>
        <v>61883</v>
      </c>
      <c r="S36" s="85">
        <f t="shared" si="14"/>
        <v>2885</v>
      </c>
      <c r="T36" s="85">
        <f t="shared" si="14"/>
        <v>1868</v>
      </c>
      <c r="U36" s="86"/>
      <c r="V36" s="87">
        <f>V35+V19</f>
        <v>103312</v>
      </c>
      <c r="W36" s="88">
        <f t="shared" si="14"/>
        <v>105296</v>
      </c>
      <c r="X36" s="4"/>
      <c r="Y36" s="84">
        <f>Y35+Y19</f>
        <v>0</v>
      </c>
      <c r="Z36" s="85">
        <f>Z35+Z19</f>
        <v>323</v>
      </c>
      <c r="AA36" s="85">
        <f>AA35+AA19</f>
        <v>888</v>
      </c>
      <c r="AB36" s="85">
        <f>AB35+AB19</f>
        <v>934</v>
      </c>
      <c r="AC36" s="89">
        <f t="shared" si="4"/>
        <v>2145</v>
      </c>
    </row>
    <row r="37" spans="2:31" ht="10.5" thickTop="1" x14ac:dyDescent="0.2">
      <c r="X37" s="4"/>
    </row>
    <row r="38" spans="2:31" x14ac:dyDescent="0.2"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X38" s="4"/>
    </row>
    <row r="39" spans="2:31" x14ac:dyDescent="0.2">
      <c r="X39" s="4"/>
    </row>
    <row r="40" spans="2:31" x14ac:dyDescent="0.2">
      <c r="X40" s="4"/>
    </row>
    <row r="41" spans="2:31" x14ac:dyDescent="0.2">
      <c r="X41" s="4"/>
    </row>
    <row r="42" spans="2:31" x14ac:dyDescent="0.2">
      <c r="X42" s="4"/>
    </row>
  </sheetData>
  <mergeCells count="1">
    <mergeCell ref="Y4:AC4"/>
  </mergeCells>
  <pageMargins left="0.7" right="0.7" top="0.75" bottom="0.75" header="0.3" footer="0.3"/>
  <pageSetup paperSize="9" orientation="portrait" verticalDpi="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53"/>
  <sheetViews>
    <sheetView workbookViewId="0">
      <selection activeCell="A25" sqref="A25:XFD25"/>
    </sheetView>
  </sheetViews>
  <sheetFormatPr defaultColWidth="9.1796875" defaultRowHeight="14.5" x14ac:dyDescent="0.35"/>
  <cols>
    <col min="1" max="1" width="11.453125" style="91" customWidth="1"/>
    <col min="2" max="2" width="17" style="91" bestFit="1" customWidth="1"/>
    <col min="3" max="3" width="11.26953125" style="91" customWidth="1"/>
    <col min="4" max="4" width="10.54296875" style="91" bestFit="1" customWidth="1"/>
    <col min="5" max="6" width="9.54296875" style="91" bestFit="1" customWidth="1"/>
    <col min="7" max="7" width="9.7265625" style="91" customWidth="1"/>
    <col min="8" max="8" width="16.7265625" style="91" customWidth="1"/>
    <col min="9" max="9" width="11.453125" style="91" customWidth="1"/>
    <col min="10" max="10" width="9.7265625" style="91" customWidth="1"/>
    <col min="11" max="11" width="11.1796875" style="91" customWidth="1"/>
    <col min="12" max="12" width="9.453125" style="91" customWidth="1"/>
    <col min="13" max="13" width="9.1796875" style="91" customWidth="1"/>
    <col min="14" max="14" width="9.7265625" style="91" customWidth="1"/>
    <col min="15" max="15" width="10.81640625" style="91" customWidth="1"/>
    <col min="16" max="17" width="9.26953125" style="91" customWidth="1"/>
    <col min="18" max="18" width="9.1796875" style="91" customWidth="1"/>
    <col min="19" max="19" width="11.26953125" style="91" customWidth="1"/>
    <col min="20" max="20" width="10.1796875" style="91" bestFit="1" customWidth="1"/>
    <col min="21" max="16384" width="9.1796875" style="91"/>
  </cols>
  <sheetData>
    <row r="1" spans="1:22" x14ac:dyDescent="0.35">
      <c r="A1" s="253" t="s">
        <v>0</v>
      </c>
      <c r="B1" s="261" t="s">
        <v>45</v>
      </c>
      <c r="C1" s="262" t="s">
        <v>20</v>
      </c>
      <c r="D1" s="256" t="s">
        <v>48</v>
      </c>
      <c r="E1" s="256" t="s">
        <v>22</v>
      </c>
      <c r="F1" s="256" t="s">
        <v>23</v>
      </c>
      <c r="G1" s="257" t="s">
        <v>26</v>
      </c>
      <c r="H1" s="256" t="s">
        <v>43</v>
      </c>
      <c r="I1" s="256" t="s">
        <v>47</v>
      </c>
      <c r="J1" s="258" t="s">
        <v>31</v>
      </c>
      <c r="K1" s="256" t="s">
        <v>42</v>
      </c>
      <c r="L1" s="256" t="s">
        <v>24</v>
      </c>
      <c r="M1" s="256" t="s">
        <v>25</v>
      </c>
      <c r="N1" s="257" t="s">
        <v>27</v>
      </c>
      <c r="O1" s="256" t="s">
        <v>28</v>
      </c>
      <c r="P1" s="256" t="s">
        <v>46</v>
      </c>
      <c r="Q1" s="258" t="s">
        <v>30</v>
      </c>
      <c r="R1" s="256" t="s">
        <v>11</v>
      </c>
      <c r="S1" s="256" t="s">
        <v>29</v>
      </c>
    </row>
    <row r="2" spans="1:22" x14ac:dyDescent="0.35">
      <c r="A2" s="254"/>
      <c r="B2" s="261"/>
      <c r="C2" s="262"/>
      <c r="D2" s="256"/>
      <c r="E2" s="256"/>
      <c r="F2" s="256"/>
      <c r="G2" s="257"/>
      <c r="H2" s="256"/>
      <c r="I2" s="256"/>
      <c r="J2" s="259"/>
      <c r="K2" s="256"/>
      <c r="L2" s="256"/>
      <c r="M2" s="256"/>
      <c r="N2" s="257"/>
      <c r="O2" s="256"/>
      <c r="P2" s="256"/>
      <c r="Q2" s="259"/>
      <c r="R2" s="256"/>
      <c r="S2" s="256"/>
    </row>
    <row r="3" spans="1:22" x14ac:dyDescent="0.35">
      <c r="A3" s="254"/>
      <c r="B3" s="261"/>
      <c r="C3" s="262"/>
      <c r="D3" s="256"/>
      <c r="E3" s="256"/>
      <c r="F3" s="256"/>
      <c r="G3" s="257"/>
      <c r="H3" s="256"/>
      <c r="I3" s="256"/>
      <c r="J3" s="259"/>
      <c r="K3" s="256"/>
      <c r="L3" s="256"/>
      <c r="M3" s="256"/>
      <c r="N3" s="257"/>
      <c r="O3" s="256"/>
      <c r="P3" s="256"/>
      <c r="Q3" s="259"/>
      <c r="R3" s="256"/>
      <c r="S3" s="256"/>
    </row>
    <row r="4" spans="1:22" x14ac:dyDescent="0.35">
      <c r="A4" s="254"/>
      <c r="B4" s="261"/>
      <c r="C4" s="262"/>
      <c r="D4" s="256"/>
      <c r="E4" s="256"/>
      <c r="F4" s="256"/>
      <c r="G4" s="257"/>
      <c r="H4" s="256"/>
      <c r="I4" s="256"/>
      <c r="J4" s="259"/>
      <c r="K4" s="256"/>
      <c r="L4" s="256"/>
      <c r="M4" s="256"/>
      <c r="N4" s="257"/>
      <c r="O4" s="256"/>
      <c r="P4" s="256"/>
      <c r="Q4" s="259"/>
      <c r="R4" s="256"/>
      <c r="S4" s="256"/>
    </row>
    <row r="5" spans="1:22" x14ac:dyDescent="0.35">
      <c r="A5" s="255"/>
      <c r="B5" s="261"/>
      <c r="C5" s="262"/>
      <c r="D5" s="256"/>
      <c r="E5" s="256"/>
      <c r="F5" s="256"/>
      <c r="G5" s="257"/>
      <c r="H5" s="256"/>
      <c r="I5" s="256"/>
      <c r="J5" s="260"/>
      <c r="K5" s="256"/>
      <c r="L5" s="256"/>
      <c r="M5" s="256"/>
      <c r="N5" s="257"/>
      <c r="O5" s="256"/>
      <c r="P5" s="256"/>
      <c r="Q5" s="260"/>
      <c r="R5" s="256"/>
      <c r="S5" s="256"/>
    </row>
    <row r="6" spans="1:22" s="97" customFormat="1" x14ac:dyDescent="0.35">
      <c r="A6" s="92"/>
      <c r="B6" s="93"/>
      <c r="C6" s="94"/>
      <c r="D6" s="95"/>
      <c r="E6" s="95"/>
      <c r="F6" s="95"/>
      <c r="G6" s="115"/>
      <c r="H6" s="95"/>
      <c r="I6" s="95"/>
      <c r="J6" s="96"/>
      <c r="K6" s="95"/>
      <c r="L6" s="95"/>
      <c r="M6" s="96"/>
      <c r="N6" s="115"/>
      <c r="O6" s="95"/>
      <c r="P6" s="95"/>
      <c r="Q6" s="95"/>
      <c r="R6" s="96"/>
      <c r="S6" s="95"/>
    </row>
    <row r="7" spans="1:22" x14ac:dyDescent="0.35">
      <c r="A7" s="98" t="s">
        <v>12</v>
      </c>
      <c r="B7" s="99">
        <v>310</v>
      </c>
      <c r="C7" s="119">
        <v>104</v>
      </c>
      <c r="D7" s="100">
        <f>C7*E41</f>
        <v>197.6</v>
      </c>
      <c r="E7" s="100">
        <f>J43+((C7-C43)*G44)</f>
        <v>196.84</v>
      </c>
      <c r="F7" s="100">
        <f>D7+E7</f>
        <v>394.44</v>
      </c>
      <c r="G7" s="115">
        <f t="shared" ref="G7:G19" si="0">F7</f>
        <v>394.44</v>
      </c>
      <c r="H7" s="100">
        <v>473755</v>
      </c>
      <c r="I7" s="100">
        <v>99.853660000000005</v>
      </c>
      <c r="J7" s="101" t="s">
        <v>37</v>
      </c>
      <c r="K7" s="100">
        <f>+H7/I7</f>
        <v>4744.4930911896463</v>
      </c>
      <c r="L7" s="100">
        <f t="shared" ref="L7:L19" si="1">K7*0.00335</f>
        <v>15.894051855485316</v>
      </c>
      <c r="M7" s="101" t="str">
        <f t="shared" ref="M7:M19" si="2">IF(L7&gt;G7,"Y","N")</f>
        <v>N</v>
      </c>
      <c r="N7" s="115">
        <f>IF(L7&gt;G7,G7,L7)</f>
        <v>15.894051855485316</v>
      </c>
      <c r="O7" s="100">
        <f>+G7+N7</f>
        <v>410.33405185548531</v>
      </c>
      <c r="P7" s="100">
        <f>+O7-B7</f>
        <v>100.33405185548531</v>
      </c>
      <c r="Q7" s="100">
        <f>P7/B7*100</f>
        <v>32.365823179188816</v>
      </c>
      <c r="R7" s="101" t="str">
        <f>IF(O7&gt;1.5*B7,"Y","N")</f>
        <v>N</v>
      </c>
      <c r="S7" s="100">
        <f>O7</f>
        <v>410.33405185548531</v>
      </c>
    </row>
    <row r="8" spans="1:22" x14ac:dyDescent="0.35">
      <c r="A8" s="98" t="s">
        <v>109</v>
      </c>
      <c r="B8" s="99">
        <v>161</v>
      </c>
      <c r="C8" s="119">
        <v>27</v>
      </c>
      <c r="D8" s="100">
        <f>C8*E41</f>
        <v>51.3</v>
      </c>
      <c r="E8" s="100">
        <f>C8*E41</f>
        <v>51.3</v>
      </c>
      <c r="F8" s="100">
        <f>D8+E8</f>
        <v>102.6</v>
      </c>
      <c r="G8" s="115">
        <f t="shared" si="0"/>
        <v>102.6</v>
      </c>
      <c r="H8" s="100">
        <v>157056</v>
      </c>
      <c r="I8" s="100">
        <v>23.16</v>
      </c>
      <c r="J8" s="101" t="s">
        <v>122</v>
      </c>
      <c r="K8" s="100">
        <f>+H8/I8</f>
        <v>6781.3471502590673</v>
      </c>
      <c r="L8" s="100">
        <f t="shared" si="1"/>
        <v>22.717512953367876</v>
      </c>
      <c r="M8" s="101" t="str">
        <f t="shared" si="2"/>
        <v>N</v>
      </c>
      <c r="N8" s="115">
        <f t="shared" ref="N8:N35" si="3">IF(L8&gt;G8,G8,L8)</f>
        <v>22.717512953367876</v>
      </c>
      <c r="O8" s="100">
        <f>+G8+N8</f>
        <v>125.31751295336787</v>
      </c>
      <c r="P8" s="100">
        <f>+O8-B8</f>
        <v>-35.682487046632133</v>
      </c>
      <c r="Q8" s="100">
        <f>P8/B8*100</f>
        <v>-22.163035432690766</v>
      </c>
      <c r="R8" s="101" t="s">
        <v>119</v>
      </c>
      <c r="S8" s="100">
        <f>O8</f>
        <v>125.31751295336787</v>
      </c>
      <c r="T8" s="117"/>
    </row>
    <row r="9" spans="1:22" x14ac:dyDescent="0.35">
      <c r="A9" s="98" t="s">
        <v>14</v>
      </c>
      <c r="B9" s="99">
        <v>1798</v>
      </c>
      <c r="C9" s="119">
        <v>476</v>
      </c>
      <c r="D9" s="100">
        <f>C9*E41</f>
        <v>904.4</v>
      </c>
      <c r="E9" s="100">
        <f>J44+((C9-C44)*G45)</f>
        <v>790.02</v>
      </c>
      <c r="F9" s="100">
        <f>D9+E9</f>
        <v>1694.42</v>
      </c>
      <c r="G9" s="115">
        <f t="shared" si="0"/>
        <v>1694.42</v>
      </c>
      <c r="H9" s="100">
        <v>267733.59999999998</v>
      </c>
      <c r="I9" s="100">
        <v>5.5653300000000003</v>
      </c>
      <c r="J9" s="101" t="s">
        <v>38</v>
      </c>
      <c r="K9" s="100">
        <f t="shared" ref="K9:K19" si="4">+H9/I9</f>
        <v>48107.407826669747</v>
      </c>
      <c r="L9" s="100">
        <f t="shared" si="1"/>
        <v>161.15981621934367</v>
      </c>
      <c r="M9" s="101" t="str">
        <f t="shared" si="2"/>
        <v>N</v>
      </c>
      <c r="N9" s="115">
        <f t="shared" si="3"/>
        <v>161.15981621934367</v>
      </c>
      <c r="O9" s="100">
        <f t="shared" ref="O9:O19" si="5">+G9+N9</f>
        <v>1855.5798162193437</v>
      </c>
      <c r="P9" s="100">
        <f>+O9-B9</f>
        <v>57.579816219343684</v>
      </c>
      <c r="Q9" s="100">
        <f>P9/B9*100</f>
        <v>3.2024369421214507</v>
      </c>
      <c r="R9" s="101" t="str">
        <f t="shared" ref="R9:R19" si="6">IF(O9&gt;1.5*B9,"Y","N")</f>
        <v>N</v>
      </c>
      <c r="S9" s="100">
        <f>O9</f>
        <v>1855.5798162193437</v>
      </c>
    </row>
    <row r="10" spans="1:22" x14ac:dyDescent="0.35">
      <c r="A10" s="98" t="s">
        <v>110</v>
      </c>
      <c r="B10" s="99">
        <v>174</v>
      </c>
      <c r="C10" s="119">
        <v>0</v>
      </c>
      <c r="D10" s="100"/>
      <c r="E10" s="100"/>
      <c r="F10" s="100"/>
      <c r="G10" s="115"/>
      <c r="H10" s="100"/>
      <c r="I10" s="100"/>
      <c r="J10" s="101"/>
      <c r="K10" s="100"/>
      <c r="L10" s="100"/>
      <c r="M10" s="101"/>
      <c r="N10" s="115">
        <f t="shared" si="3"/>
        <v>0</v>
      </c>
      <c r="O10" s="100"/>
      <c r="P10" s="100"/>
      <c r="Q10" s="100"/>
      <c r="R10" s="101"/>
      <c r="S10" s="100">
        <v>194.88</v>
      </c>
      <c r="T10" s="117"/>
      <c r="U10" s="117"/>
      <c r="V10" s="117"/>
    </row>
    <row r="11" spans="1:22" x14ac:dyDescent="0.35">
      <c r="A11" s="98" t="s">
        <v>15</v>
      </c>
      <c r="B11" s="99">
        <v>53</v>
      </c>
      <c r="C11" s="119">
        <v>47</v>
      </c>
      <c r="D11" s="100">
        <f>C11*E41</f>
        <v>89.3</v>
      </c>
      <c r="E11" s="100">
        <f>D11</f>
        <v>89.3</v>
      </c>
      <c r="F11" s="100">
        <f>D11+E11</f>
        <v>178.6</v>
      </c>
      <c r="G11" s="115">
        <f t="shared" si="0"/>
        <v>178.6</v>
      </c>
      <c r="H11" s="100">
        <v>52612.52</v>
      </c>
      <c r="I11" s="100">
        <v>9.98</v>
      </c>
      <c r="J11" s="101" t="s">
        <v>39</v>
      </c>
      <c r="K11" s="100">
        <f t="shared" si="4"/>
        <v>5271.7955911823638</v>
      </c>
      <c r="L11" s="100">
        <f>K11*0.00335</f>
        <v>17.66051523046092</v>
      </c>
      <c r="M11" s="101" t="str">
        <f>IF(L11&gt;G11,"Y","N")</f>
        <v>N</v>
      </c>
      <c r="N11" s="115">
        <f>IF(L11&gt;G11,G11,L11)</f>
        <v>17.66051523046092</v>
      </c>
      <c r="O11" s="100">
        <f t="shared" si="5"/>
        <v>196.26051523046092</v>
      </c>
      <c r="P11" s="100">
        <f t="shared" ref="P11:P14" si="7">+O11-B11</f>
        <v>143.26051523046092</v>
      </c>
      <c r="Q11" s="100">
        <f t="shared" ref="Q11:Q19" si="8">P11/B11*100</f>
        <v>270.30285892539797</v>
      </c>
      <c r="R11" s="101" t="str">
        <f t="shared" si="6"/>
        <v>Y</v>
      </c>
      <c r="S11" s="100">
        <f>1.5*B11</f>
        <v>79.5</v>
      </c>
      <c r="T11" s="117"/>
      <c r="U11" s="117"/>
      <c r="V11" s="117"/>
    </row>
    <row r="12" spans="1:22" x14ac:dyDescent="0.35">
      <c r="A12" s="98" t="s">
        <v>111</v>
      </c>
      <c r="B12" s="99">
        <v>483</v>
      </c>
      <c r="C12" s="119"/>
      <c r="D12" s="100"/>
      <c r="E12" s="100"/>
      <c r="F12" s="100"/>
      <c r="G12" s="115"/>
      <c r="H12" s="100"/>
      <c r="I12" s="100"/>
      <c r="J12" s="101"/>
      <c r="K12" s="100"/>
      <c r="L12" s="100"/>
      <c r="M12" s="101"/>
      <c r="N12" s="115">
        <f t="shared" si="3"/>
        <v>0</v>
      </c>
      <c r="O12" s="100"/>
      <c r="P12" s="100"/>
      <c r="Q12" s="100"/>
      <c r="R12" s="101"/>
      <c r="S12" s="100">
        <v>540.96</v>
      </c>
      <c r="T12" s="117"/>
      <c r="U12" s="117"/>
      <c r="V12" s="117"/>
    </row>
    <row r="13" spans="1:22" x14ac:dyDescent="0.35">
      <c r="A13" s="98" t="s">
        <v>112</v>
      </c>
      <c r="B13" s="99">
        <v>235</v>
      </c>
      <c r="C13" s="119">
        <v>64</v>
      </c>
      <c r="D13" s="100">
        <f>C13*E41</f>
        <v>121.6</v>
      </c>
      <c r="E13" s="100">
        <f>D13</f>
        <v>121.6</v>
      </c>
      <c r="F13" s="100">
        <f t="shared" ref="F13" si="9">D13+E13</f>
        <v>243.2</v>
      </c>
      <c r="G13" s="115">
        <f t="shared" si="0"/>
        <v>243.2</v>
      </c>
      <c r="H13" s="100">
        <v>2251.62</v>
      </c>
      <c r="I13" s="100">
        <v>1.17</v>
      </c>
      <c r="J13" s="101" t="s">
        <v>34</v>
      </c>
      <c r="K13" s="100">
        <f t="shared" si="4"/>
        <v>1924.4615384615386</v>
      </c>
      <c r="L13" s="100">
        <f>K13*0.00335</f>
        <v>6.4469461538461541</v>
      </c>
      <c r="M13" s="101" t="str">
        <f t="shared" ref="M13" si="10">IF(L13&gt;G13,"Y","N")</f>
        <v>N</v>
      </c>
      <c r="N13" s="115">
        <f>IF(L13&gt;G13,G13,L13)</f>
        <v>6.4469461538461541</v>
      </c>
      <c r="O13" s="100">
        <f t="shared" si="5"/>
        <v>249.64694615384613</v>
      </c>
      <c r="P13" s="100">
        <f t="shared" si="7"/>
        <v>14.64694615384613</v>
      </c>
      <c r="Q13" s="100">
        <f t="shared" si="8"/>
        <v>6.2327430441898422</v>
      </c>
      <c r="R13" s="101" t="s">
        <v>119</v>
      </c>
      <c r="S13" s="100">
        <f>O13</f>
        <v>249.64694615384613</v>
      </c>
      <c r="T13" s="117"/>
      <c r="U13" s="117"/>
      <c r="V13" s="117"/>
    </row>
    <row r="14" spans="1:22" x14ac:dyDescent="0.35">
      <c r="A14" s="98" t="s">
        <v>16</v>
      </c>
      <c r="B14" s="99">
        <v>680</v>
      </c>
      <c r="C14" s="119">
        <v>250</v>
      </c>
      <c r="D14" s="100">
        <f>C14*E41</f>
        <v>475</v>
      </c>
      <c r="E14" s="100">
        <f>J44</f>
        <v>446.5</v>
      </c>
      <c r="F14" s="100">
        <f t="shared" ref="F14:F18" si="11">D14+E14</f>
        <v>921.5</v>
      </c>
      <c r="G14" s="115">
        <f t="shared" si="0"/>
        <v>921.5</v>
      </c>
      <c r="H14" s="100">
        <v>481757.3</v>
      </c>
      <c r="I14" s="100">
        <v>44.337789999999998</v>
      </c>
      <c r="J14" s="101" t="s">
        <v>40</v>
      </c>
      <c r="K14" s="100">
        <f t="shared" si="4"/>
        <v>10865.613734920031</v>
      </c>
      <c r="L14" s="100">
        <f t="shared" si="1"/>
        <v>36.399806011982108</v>
      </c>
      <c r="M14" s="101" t="str">
        <f t="shared" si="2"/>
        <v>N</v>
      </c>
      <c r="N14" s="115">
        <f t="shared" si="3"/>
        <v>36.399806011982108</v>
      </c>
      <c r="O14" s="100">
        <f t="shared" si="5"/>
        <v>957.89980601198215</v>
      </c>
      <c r="P14" s="100">
        <f t="shared" si="7"/>
        <v>277.89980601198215</v>
      </c>
      <c r="Q14" s="100">
        <f t="shared" si="8"/>
        <v>40.867618531173846</v>
      </c>
      <c r="R14" s="101" t="str">
        <f t="shared" si="6"/>
        <v>N</v>
      </c>
      <c r="S14" s="100">
        <f>O14</f>
        <v>957.89980601198215</v>
      </c>
      <c r="T14" s="117"/>
      <c r="U14" s="117"/>
      <c r="V14" s="117"/>
    </row>
    <row r="15" spans="1:22" x14ac:dyDescent="0.35">
      <c r="A15" s="98" t="s">
        <v>113</v>
      </c>
      <c r="B15" s="99">
        <v>175</v>
      </c>
      <c r="C15" s="119"/>
      <c r="D15" s="100"/>
      <c r="E15" s="100"/>
      <c r="F15" s="100"/>
      <c r="G15" s="115"/>
      <c r="H15" s="100"/>
      <c r="I15" s="100"/>
      <c r="J15" s="101"/>
      <c r="K15" s="100"/>
      <c r="L15" s="100"/>
      <c r="M15" s="101"/>
      <c r="N15" s="115">
        <f t="shared" si="3"/>
        <v>0</v>
      </c>
      <c r="O15" s="100"/>
      <c r="P15" s="100"/>
      <c r="Q15" s="100"/>
      <c r="R15" s="101"/>
      <c r="S15" s="100">
        <v>196</v>
      </c>
      <c r="T15" s="117"/>
      <c r="U15" s="117"/>
      <c r="V15" s="117"/>
    </row>
    <row r="16" spans="1:22" x14ac:dyDescent="0.35">
      <c r="A16" s="98" t="s">
        <v>17</v>
      </c>
      <c r="B16" s="99">
        <v>882</v>
      </c>
      <c r="C16" s="119">
        <v>298</v>
      </c>
      <c r="D16" s="100">
        <f>C16*E41</f>
        <v>566.19999999999993</v>
      </c>
      <c r="E16" s="100">
        <f>J44+((C16-C44)*G45)</f>
        <v>519.46</v>
      </c>
      <c r="F16" s="100">
        <f t="shared" si="11"/>
        <v>1085.6599999999999</v>
      </c>
      <c r="G16" s="115">
        <f t="shared" si="0"/>
        <v>1085.6599999999999</v>
      </c>
      <c r="H16" s="100">
        <v>10205</v>
      </c>
      <c r="I16" s="100">
        <v>1</v>
      </c>
      <c r="J16" s="101" t="s">
        <v>36</v>
      </c>
      <c r="K16" s="100">
        <f t="shared" si="4"/>
        <v>10205</v>
      </c>
      <c r="L16" s="100">
        <f t="shared" si="1"/>
        <v>34.186750000000004</v>
      </c>
      <c r="M16" s="101" t="str">
        <f t="shared" si="2"/>
        <v>N</v>
      </c>
      <c r="N16" s="115">
        <f t="shared" si="3"/>
        <v>34.186750000000004</v>
      </c>
      <c r="O16" s="100">
        <f t="shared" si="5"/>
        <v>1119.8467499999999</v>
      </c>
      <c r="P16" s="100">
        <f>+O16-B16</f>
        <v>237.84674999999993</v>
      </c>
      <c r="Q16" s="100">
        <f t="shared" si="8"/>
        <v>26.966751700680263</v>
      </c>
      <c r="R16" s="101" t="str">
        <f t="shared" si="6"/>
        <v>N</v>
      </c>
      <c r="S16" s="100">
        <f>O16</f>
        <v>1119.8467499999999</v>
      </c>
      <c r="T16" s="117"/>
      <c r="U16" s="117"/>
      <c r="V16" s="117"/>
    </row>
    <row r="17" spans="1:22" x14ac:dyDescent="0.35">
      <c r="A17" s="98" t="s">
        <v>18</v>
      </c>
      <c r="B17" s="99">
        <v>728</v>
      </c>
      <c r="C17" s="119">
        <v>631</v>
      </c>
      <c r="D17" s="100">
        <f>C17*E41</f>
        <v>1198.8999999999999</v>
      </c>
      <c r="E17" s="100">
        <f>J45+((C17-C45)*G46)</f>
        <v>1000.73</v>
      </c>
      <c r="F17" s="100">
        <f t="shared" si="11"/>
        <v>2199.63</v>
      </c>
      <c r="G17" s="115">
        <f t="shared" si="0"/>
        <v>2199.63</v>
      </c>
      <c r="H17" s="100">
        <v>150374840</v>
      </c>
      <c r="I17" s="100">
        <v>2786.8</v>
      </c>
      <c r="J17" s="101" t="s">
        <v>41</v>
      </c>
      <c r="K17" s="100">
        <f t="shared" si="4"/>
        <v>53959.681354959088</v>
      </c>
      <c r="L17" s="100">
        <f t="shared" si="1"/>
        <v>180.76493253911295</v>
      </c>
      <c r="M17" s="101" t="str">
        <f t="shared" si="2"/>
        <v>N</v>
      </c>
      <c r="N17" s="115">
        <f t="shared" si="3"/>
        <v>180.76493253911295</v>
      </c>
      <c r="O17" s="100">
        <f t="shared" si="5"/>
        <v>2380.3949325391131</v>
      </c>
      <c r="P17" s="100">
        <f>+O17-B17</f>
        <v>1652.3949325391131</v>
      </c>
      <c r="Q17" s="100">
        <f t="shared" si="8"/>
        <v>226.97732589822982</v>
      </c>
      <c r="R17" s="101" t="str">
        <f t="shared" si="6"/>
        <v>Y</v>
      </c>
      <c r="S17" s="100">
        <f>1.5*B17</f>
        <v>1092</v>
      </c>
      <c r="T17" s="117" t="s">
        <v>116</v>
      </c>
      <c r="U17" s="117"/>
      <c r="V17" s="117"/>
    </row>
    <row r="18" spans="1:22" x14ac:dyDescent="0.35">
      <c r="A18" s="98" t="s">
        <v>114</v>
      </c>
      <c r="B18" s="99">
        <v>825</v>
      </c>
      <c r="C18" s="119">
        <v>515</v>
      </c>
      <c r="D18" s="100">
        <f>C18*E41</f>
        <v>978.5</v>
      </c>
      <c r="E18" s="100">
        <f>J45+(C18-C45)*G46</f>
        <v>846.45</v>
      </c>
      <c r="F18" s="100">
        <f t="shared" si="11"/>
        <v>1824.95</v>
      </c>
      <c r="G18" s="115">
        <f t="shared" si="0"/>
        <v>1824.95</v>
      </c>
      <c r="H18" s="100">
        <v>1602839</v>
      </c>
      <c r="I18" s="100">
        <v>11.9</v>
      </c>
      <c r="J18" s="101" t="s">
        <v>120</v>
      </c>
      <c r="K18" s="100">
        <f t="shared" si="4"/>
        <v>134692.35294117648</v>
      </c>
      <c r="L18" s="100">
        <f t="shared" si="1"/>
        <v>451.21938235294118</v>
      </c>
      <c r="M18" s="101" t="s">
        <v>119</v>
      </c>
      <c r="N18" s="115">
        <f t="shared" si="3"/>
        <v>451.21938235294118</v>
      </c>
      <c r="O18" s="100">
        <f t="shared" si="5"/>
        <v>2276.1693823529413</v>
      </c>
      <c r="P18" s="100">
        <f>+O18-B18</f>
        <v>1451.1693823529413</v>
      </c>
      <c r="Q18" s="100">
        <f t="shared" si="8"/>
        <v>175.89931907308377</v>
      </c>
      <c r="R18" s="101" t="s">
        <v>121</v>
      </c>
      <c r="S18" s="100">
        <f>1.5*B18</f>
        <v>1237.5</v>
      </c>
      <c r="T18" s="117"/>
      <c r="U18" s="117"/>
      <c r="V18" s="117"/>
    </row>
    <row r="19" spans="1:22" x14ac:dyDescent="0.35">
      <c r="A19" s="98" t="s">
        <v>19</v>
      </c>
      <c r="B19" s="99">
        <v>545</v>
      </c>
      <c r="C19" s="119">
        <v>210</v>
      </c>
      <c r="D19" s="100">
        <f>C19*E41</f>
        <v>399</v>
      </c>
      <c r="E19" s="100">
        <f>J43+((C19-C43)*G44)</f>
        <v>378.1</v>
      </c>
      <c r="F19" s="100">
        <f t="shared" ref="F19" si="12">D19+E19</f>
        <v>777.1</v>
      </c>
      <c r="G19" s="115">
        <f t="shared" si="0"/>
        <v>777.1</v>
      </c>
      <c r="H19" s="100">
        <v>77779.789999999994</v>
      </c>
      <c r="I19" s="100">
        <v>1.2489399999999999</v>
      </c>
      <c r="J19" s="101" t="s">
        <v>44</v>
      </c>
      <c r="K19" s="100">
        <f t="shared" si="4"/>
        <v>62276.64259291879</v>
      </c>
      <c r="L19" s="100">
        <f t="shared" si="1"/>
        <v>208.62675268627794</v>
      </c>
      <c r="M19" s="101" t="str">
        <f t="shared" si="2"/>
        <v>N</v>
      </c>
      <c r="N19" s="115">
        <f t="shared" si="3"/>
        <v>208.62675268627794</v>
      </c>
      <c r="O19" s="100">
        <f t="shared" si="5"/>
        <v>985.72675268627791</v>
      </c>
      <c r="P19" s="100">
        <f>+O19-B19</f>
        <v>440.72675268627791</v>
      </c>
      <c r="Q19" s="100">
        <f t="shared" si="8"/>
        <v>80.867294070876682</v>
      </c>
      <c r="R19" s="101" t="str">
        <f t="shared" si="6"/>
        <v>Y</v>
      </c>
      <c r="S19" s="100">
        <f>1.5*B19</f>
        <v>817.5</v>
      </c>
      <c r="T19" s="117"/>
      <c r="U19" s="117"/>
      <c r="V19" s="117"/>
    </row>
    <row r="20" spans="1:22" s="97" customFormat="1" x14ac:dyDescent="0.35">
      <c r="A20" s="92"/>
      <c r="B20" s="93"/>
      <c r="C20" s="120"/>
      <c r="D20" s="95"/>
      <c r="E20" s="95"/>
      <c r="F20" s="95"/>
      <c r="G20" s="115"/>
      <c r="H20" s="95"/>
      <c r="I20" s="95"/>
      <c r="J20" s="96"/>
      <c r="K20" s="95"/>
      <c r="L20" s="95"/>
      <c r="M20" s="96"/>
      <c r="N20" s="115">
        <f t="shared" si="3"/>
        <v>0</v>
      </c>
      <c r="O20" s="95"/>
      <c r="P20" s="95"/>
      <c r="Q20" s="95"/>
      <c r="R20" s="96"/>
      <c r="S20" s="95"/>
      <c r="T20" s="117"/>
      <c r="U20" s="117"/>
      <c r="V20" s="117"/>
    </row>
    <row r="21" spans="1:22" s="106" customFormat="1" x14ac:dyDescent="0.35">
      <c r="A21" s="102" t="s">
        <v>108</v>
      </c>
      <c r="B21" s="103">
        <f>SUBTOTAL(9, B7:B19)</f>
        <v>7049</v>
      </c>
      <c r="C21" s="121">
        <f>SUBTOTAL(9, C7:C19)</f>
        <v>2622</v>
      </c>
      <c r="D21" s="104"/>
      <c r="E21" s="104"/>
      <c r="F21" s="104"/>
      <c r="G21" s="116"/>
      <c r="H21" s="104"/>
      <c r="I21" s="104"/>
      <c r="J21" s="105"/>
      <c r="K21" s="104"/>
      <c r="L21" s="104"/>
      <c r="M21" s="105"/>
      <c r="N21" s="115">
        <f t="shared" si="3"/>
        <v>0</v>
      </c>
      <c r="O21" s="104"/>
      <c r="P21" s="104"/>
      <c r="Q21" s="104"/>
      <c r="R21" s="105"/>
      <c r="S21" s="103">
        <f>SUBTOTAL(9, S7:S19)</f>
        <v>8876.9648831940249</v>
      </c>
      <c r="T21" s="117"/>
      <c r="U21" s="117"/>
      <c r="V21" s="117"/>
    </row>
    <row r="22" spans="1:22" s="97" customFormat="1" x14ac:dyDescent="0.35">
      <c r="A22" s="92"/>
      <c r="B22" s="93"/>
      <c r="C22" s="120"/>
      <c r="D22" s="95"/>
      <c r="E22" s="95"/>
      <c r="F22" s="95"/>
      <c r="G22" s="115"/>
      <c r="H22" s="95"/>
      <c r="I22" s="95"/>
      <c r="J22" s="96"/>
      <c r="K22" s="95"/>
      <c r="L22" s="95"/>
      <c r="M22" s="96"/>
      <c r="N22" s="115">
        <f t="shared" si="3"/>
        <v>0</v>
      </c>
      <c r="O22" s="95"/>
      <c r="P22" s="95"/>
      <c r="Q22" s="95"/>
      <c r="R22" s="96"/>
      <c r="S22" s="95"/>
      <c r="T22" s="117"/>
      <c r="U22" s="117"/>
      <c r="V22" s="117"/>
    </row>
    <row r="23" spans="1:22" s="97" customFormat="1" x14ac:dyDescent="0.35">
      <c r="A23" s="98" t="s">
        <v>98</v>
      </c>
      <c r="B23" s="99">
        <v>4667</v>
      </c>
      <c r="C23" s="119">
        <v>1012</v>
      </c>
      <c r="D23" s="100">
        <f>C23*E41</f>
        <v>1922.8</v>
      </c>
      <c r="E23" s="100">
        <f>J46+((C23-C46)*G47)</f>
        <v>1505.18</v>
      </c>
      <c r="F23" s="100">
        <f>D23+E23</f>
        <v>3427.98</v>
      </c>
      <c r="G23" s="115">
        <f>F23</f>
        <v>3427.98</v>
      </c>
      <c r="H23" s="100">
        <v>382638</v>
      </c>
      <c r="I23" s="100">
        <v>1.63469</v>
      </c>
      <c r="J23" s="101" t="s">
        <v>99</v>
      </c>
      <c r="K23" s="100">
        <f>+H23/I23</f>
        <v>234073.73875168993</v>
      </c>
      <c r="L23" s="100">
        <f>K23*0.00335</f>
        <v>784.1470248181613</v>
      </c>
      <c r="M23" s="101" t="str">
        <f t="shared" ref="M23:M25" si="13">IF(L23&gt;G23,"Y","N")</f>
        <v>N</v>
      </c>
      <c r="N23" s="115">
        <f t="shared" si="3"/>
        <v>784.1470248181613</v>
      </c>
      <c r="O23" s="100">
        <f>+G23+N23</f>
        <v>4212.1270248181609</v>
      </c>
      <c r="P23" s="100">
        <f>+O23-B23</f>
        <v>-454.87297518183914</v>
      </c>
      <c r="Q23" s="100">
        <f t="shared" ref="Q23" si="14">P23/B23*100</f>
        <v>-9.7465818551926109</v>
      </c>
      <c r="R23" s="101" t="str">
        <f>IF(O23&gt;1.5*B23,"Y","N")</f>
        <v>N</v>
      </c>
      <c r="S23" s="100">
        <f>O23</f>
        <v>4212.1270248181609</v>
      </c>
      <c r="T23" s="117"/>
      <c r="U23" s="117"/>
      <c r="V23" s="117"/>
    </row>
    <row r="24" spans="1:22" s="97" customFormat="1" x14ac:dyDescent="0.35">
      <c r="A24" s="98" t="s">
        <v>13</v>
      </c>
      <c r="B24" s="99">
        <v>3200</v>
      </c>
      <c r="C24" s="119"/>
      <c r="D24" s="100"/>
      <c r="E24" s="100"/>
      <c r="F24" s="100"/>
      <c r="G24" s="115"/>
      <c r="H24" s="100"/>
      <c r="I24" s="100"/>
      <c r="J24" s="101"/>
      <c r="K24" s="100"/>
      <c r="L24" s="100"/>
      <c r="M24" s="101" t="str">
        <f t="shared" si="13"/>
        <v>N</v>
      </c>
      <c r="N24" s="115">
        <f t="shared" si="3"/>
        <v>0</v>
      </c>
      <c r="O24" s="100"/>
      <c r="P24" s="100"/>
      <c r="Q24" s="101"/>
      <c r="R24" s="101" t="str">
        <f t="shared" ref="R24:R35" si="15">IF(O24&gt;1.5*B24,"Y","N")</f>
        <v>N</v>
      </c>
      <c r="S24" s="100">
        <v>3600</v>
      </c>
      <c r="T24" s="117"/>
      <c r="U24" s="117"/>
      <c r="V24" s="117"/>
    </row>
    <row r="25" spans="1:22" s="97" customFormat="1" x14ac:dyDescent="0.35">
      <c r="A25" s="98" t="s">
        <v>100</v>
      </c>
      <c r="B25" s="99">
        <v>5809</v>
      </c>
      <c r="C25" s="119">
        <v>1727</v>
      </c>
      <c r="D25" s="100">
        <f>C25*E41</f>
        <v>3281.2999999999997</v>
      </c>
      <c r="E25" s="100">
        <f>J46+((C25-C46)*G47)</f>
        <v>2320.2799999999997</v>
      </c>
      <c r="F25" s="100">
        <f t="shared" ref="F25:F35" si="16">D25+E25</f>
        <v>5601.58</v>
      </c>
      <c r="G25" s="115">
        <f t="shared" ref="G25:G35" si="17">F25</f>
        <v>5601.58</v>
      </c>
      <c r="H25" s="100">
        <v>1946201</v>
      </c>
      <c r="I25" s="100">
        <v>9.6792999999999996</v>
      </c>
      <c r="J25" s="101" t="s">
        <v>32</v>
      </c>
      <c r="K25" s="100">
        <f t="shared" ref="K25:K35" si="18">+H25/I25</f>
        <v>201068.3623815772</v>
      </c>
      <c r="L25" s="100">
        <f t="shared" ref="L25:L35" si="19">K25*0.00335</f>
        <v>673.57901397828368</v>
      </c>
      <c r="M25" s="101" t="str">
        <f t="shared" si="13"/>
        <v>N</v>
      </c>
      <c r="N25" s="115">
        <f t="shared" si="3"/>
        <v>673.57901397828368</v>
      </c>
      <c r="O25" s="100">
        <f t="shared" ref="O25:O35" si="20">+G25+N25</f>
        <v>6275.1590139782838</v>
      </c>
      <c r="P25" s="100">
        <f t="shared" ref="P25:P35" si="21">+O25-B25</f>
        <v>466.15901397828384</v>
      </c>
      <c r="Q25" s="100">
        <f t="shared" ref="Q25" si="22">P25/B25*100</f>
        <v>8.0247721462951258</v>
      </c>
      <c r="R25" s="101" t="str">
        <f t="shared" si="15"/>
        <v>N</v>
      </c>
      <c r="S25" s="100">
        <f t="shared" ref="S25:S28" si="23">O25</f>
        <v>6275.1590139782838</v>
      </c>
      <c r="T25" s="117"/>
      <c r="U25" s="117"/>
      <c r="V25" s="117"/>
    </row>
    <row r="26" spans="1:22" s="97" customFormat="1" x14ac:dyDescent="0.35">
      <c r="A26" s="98" t="s">
        <v>2</v>
      </c>
      <c r="B26" s="99">
        <v>4713</v>
      </c>
      <c r="C26" s="119">
        <v>737</v>
      </c>
      <c r="D26" s="100">
        <f>C26*E41</f>
        <v>1400.3</v>
      </c>
      <c r="E26" s="100">
        <f>J45+((C26-C45)*G46)</f>
        <v>1141.71</v>
      </c>
      <c r="F26" s="100">
        <f t="shared" si="16"/>
        <v>2542.0100000000002</v>
      </c>
      <c r="G26" s="115">
        <f t="shared" si="17"/>
        <v>2542.0100000000002</v>
      </c>
      <c r="H26" s="100">
        <v>925190</v>
      </c>
      <c r="I26" s="100">
        <v>1.18146</v>
      </c>
      <c r="J26" s="101" t="s">
        <v>34</v>
      </c>
      <c r="K26" s="100">
        <f t="shared" si="18"/>
        <v>783090.4135561086</v>
      </c>
      <c r="L26" s="100">
        <f t="shared" si="19"/>
        <v>2623.352885412964</v>
      </c>
      <c r="M26" s="101" t="str">
        <f>IF(L26&gt;G26,"Y","N")</f>
        <v>Y</v>
      </c>
      <c r="N26" s="115">
        <f t="shared" si="3"/>
        <v>2542.0100000000002</v>
      </c>
      <c r="O26" s="100">
        <f t="shared" si="20"/>
        <v>5084.0200000000004</v>
      </c>
      <c r="P26" s="100">
        <f t="shared" si="21"/>
        <v>371.02000000000044</v>
      </c>
      <c r="Q26" s="100">
        <f t="shared" ref="Q26" si="24">P26/B26*100</f>
        <v>7.8722681943560451</v>
      </c>
      <c r="R26" s="101" t="str">
        <f t="shared" si="15"/>
        <v>N</v>
      </c>
      <c r="S26" s="100">
        <f t="shared" si="23"/>
        <v>5084.0200000000004</v>
      </c>
      <c r="T26" s="117"/>
      <c r="U26" s="117"/>
      <c r="V26" s="117"/>
    </row>
    <row r="27" spans="1:22" s="97" customFormat="1" x14ac:dyDescent="0.35">
      <c r="A27" s="98" t="s">
        <v>1</v>
      </c>
      <c r="B27" s="99">
        <v>2340</v>
      </c>
      <c r="C27" s="119">
        <v>1026</v>
      </c>
      <c r="D27" s="100">
        <f>C27*E41</f>
        <v>1949.3999999999999</v>
      </c>
      <c r="E27" s="100">
        <f>J46+((C27-C46)*G47)</f>
        <v>1521.14</v>
      </c>
      <c r="F27" s="100">
        <f t="shared" si="16"/>
        <v>3470.54</v>
      </c>
      <c r="G27" s="115">
        <f t="shared" si="17"/>
        <v>3470.54</v>
      </c>
      <c r="H27" s="100">
        <v>852681</v>
      </c>
      <c r="I27" s="100">
        <v>83.9863</v>
      </c>
      <c r="J27" s="101" t="s">
        <v>33</v>
      </c>
      <c r="K27" s="100">
        <f t="shared" si="18"/>
        <v>10152.620129711631</v>
      </c>
      <c r="L27" s="100">
        <f t="shared" si="19"/>
        <v>34.011277434533966</v>
      </c>
      <c r="M27" s="101" t="str">
        <f t="shared" ref="M27:M35" si="25">IF(L27&gt;G27,"Y","N")</f>
        <v>N</v>
      </c>
      <c r="N27" s="115">
        <f t="shared" si="3"/>
        <v>34.011277434533966</v>
      </c>
      <c r="O27" s="100">
        <f t="shared" si="20"/>
        <v>3504.5512774345339</v>
      </c>
      <c r="P27" s="100">
        <f t="shared" si="21"/>
        <v>1164.5512774345339</v>
      </c>
      <c r="Q27" s="100">
        <f t="shared" ref="Q27:Q33" si="26">P27/B27*100</f>
        <v>49.767148608313413</v>
      </c>
      <c r="R27" s="101" t="str">
        <f t="shared" si="15"/>
        <v>N</v>
      </c>
      <c r="S27" s="100">
        <f t="shared" si="23"/>
        <v>3504.5512774345339</v>
      </c>
      <c r="T27" s="117"/>
      <c r="U27" s="117"/>
      <c r="V27" s="117"/>
    </row>
    <row r="28" spans="1:22" s="97" customFormat="1" x14ac:dyDescent="0.35">
      <c r="A28" s="98" t="s">
        <v>3</v>
      </c>
      <c r="B28" s="99">
        <v>6225</v>
      </c>
      <c r="C28" s="119">
        <v>2251</v>
      </c>
      <c r="D28" s="100">
        <f>C28*E41</f>
        <v>4276.8999999999996</v>
      </c>
      <c r="E28" s="100">
        <f>J46+((C28-C46)*G47)</f>
        <v>2917.64</v>
      </c>
      <c r="F28" s="100">
        <f t="shared" si="16"/>
        <v>7194.5399999999991</v>
      </c>
      <c r="G28" s="115">
        <f t="shared" si="17"/>
        <v>7194.5399999999991</v>
      </c>
      <c r="H28" s="100">
        <v>639157</v>
      </c>
      <c r="I28" s="100">
        <v>5.5509599999999999</v>
      </c>
      <c r="J28" s="101" t="s">
        <v>35</v>
      </c>
      <c r="K28" s="100">
        <f t="shared" si="18"/>
        <v>115143.50670874948</v>
      </c>
      <c r="L28" s="100">
        <f>K28*0.00335</f>
        <v>385.73074747431076</v>
      </c>
      <c r="M28" s="101" t="str">
        <f t="shared" si="25"/>
        <v>N</v>
      </c>
      <c r="N28" s="115">
        <f t="shared" si="3"/>
        <v>385.73074747431076</v>
      </c>
      <c r="O28" s="100">
        <f t="shared" si="20"/>
        <v>7580.2707474743102</v>
      </c>
      <c r="P28" s="100">
        <f t="shared" si="21"/>
        <v>1355.2707474743102</v>
      </c>
      <c r="Q28" s="100">
        <f t="shared" si="26"/>
        <v>21.771417630109401</v>
      </c>
      <c r="R28" s="101" t="str">
        <f t="shared" si="15"/>
        <v>N</v>
      </c>
      <c r="S28" s="100">
        <f t="shared" si="23"/>
        <v>7580.2707474743102</v>
      </c>
      <c r="T28" s="97" t="s">
        <v>117</v>
      </c>
    </row>
    <row r="29" spans="1:22" s="97" customFormat="1" x14ac:dyDescent="0.35">
      <c r="A29" s="98" t="s">
        <v>5</v>
      </c>
      <c r="B29" s="99">
        <v>3626</v>
      </c>
      <c r="C29" s="119">
        <v>2341</v>
      </c>
      <c r="D29" s="100">
        <f>C29*E41</f>
        <v>4447.8999999999996</v>
      </c>
      <c r="E29" s="100">
        <f>J46+((C29-C46)*G47)</f>
        <v>3020.24</v>
      </c>
      <c r="F29" s="100">
        <f t="shared" si="16"/>
        <v>7468.1399999999994</v>
      </c>
      <c r="G29" s="115">
        <f t="shared" si="17"/>
        <v>7468.1399999999994</v>
      </c>
      <c r="H29" s="100">
        <v>65351340</v>
      </c>
      <c r="I29" s="100">
        <v>392.79512999999997</v>
      </c>
      <c r="J29" s="101" t="s">
        <v>102</v>
      </c>
      <c r="K29" s="100">
        <f t="shared" si="18"/>
        <v>166375.12791973772</v>
      </c>
      <c r="L29" s="100">
        <f t="shared" si="19"/>
        <v>557.35667853112136</v>
      </c>
      <c r="M29" s="101" t="str">
        <f t="shared" si="25"/>
        <v>N</v>
      </c>
      <c r="N29" s="115">
        <f t="shared" si="3"/>
        <v>557.35667853112136</v>
      </c>
      <c r="O29" s="100">
        <f t="shared" si="20"/>
        <v>8025.4966785311208</v>
      </c>
      <c r="P29" s="100">
        <f t="shared" si="21"/>
        <v>4399.4966785311208</v>
      </c>
      <c r="Q29" s="100">
        <f t="shared" si="26"/>
        <v>121.331954730588</v>
      </c>
      <c r="R29" s="101" t="str">
        <f t="shared" si="15"/>
        <v>Y</v>
      </c>
      <c r="S29" s="100">
        <f>1.5*B29</f>
        <v>5439</v>
      </c>
    </row>
    <row r="30" spans="1:22" s="97" customFormat="1" x14ac:dyDescent="0.35">
      <c r="A30" s="98" t="s">
        <v>6</v>
      </c>
      <c r="B30" s="99">
        <v>1160</v>
      </c>
      <c r="C30" s="119">
        <v>205</v>
      </c>
      <c r="D30" s="100">
        <f>C30*E41</f>
        <v>389.5</v>
      </c>
      <c r="E30" s="100">
        <f>J43+((C30-C43)*G44)</f>
        <v>369.54999999999995</v>
      </c>
      <c r="F30" s="100">
        <f>D30+E30</f>
        <v>759.05</v>
      </c>
      <c r="G30" s="115">
        <f t="shared" si="17"/>
        <v>759.05</v>
      </c>
      <c r="H30" s="100">
        <v>198153</v>
      </c>
      <c r="I30" s="100">
        <v>1.6344099999999999</v>
      </c>
      <c r="J30" s="101" t="s">
        <v>103</v>
      </c>
      <c r="K30" s="100">
        <f t="shared" si="18"/>
        <v>121238.24499360626</v>
      </c>
      <c r="L30" s="100">
        <f t="shared" si="19"/>
        <v>406.14812072858098</v>
      </c>
      <c r="M30" s="101" t="str">
        <f t="shared" si="25"/>
        <v>N</v>
      </c>
      <c r="N30" s="115">
        <f t="shared" si="3"/>
        <v>406.14812072858098</v>
      </c>
      <c r="O30" s="100">
        <f t="shared" si="20"/>
        <v>1165.198120728581</v>
      </c>
      <c r="P30" s="100">
        <f t="shared" si="21"/>
        <v>5.1981207285809887</v>
      </c>
      <c r="Q30" s="100">
        <f t="shared" si="26"/>
        <v>0.44811385591215425</v>
      </c>
      <c r="R30" s="101" t="str">
        <f t="shared" si="15"/>
        <v>N</v>
      </c>
      <c r="S30" s="100">
        <f>O30</f>
        <v>1165.198120728581</v>
      </c>
    </row>
    <row r="31" spans="1:22" s="97" customFormat="1" x14ac:dyDescent="0.35">
      <c r="A31" s="98" t="s">
        <v>4</v>
      </c>
      <c r="B31" s="99">
        <v>2217</v>
      </c>
      <c r="C31" s="119">
        <v>592</v>
      </c>
      <c r="D31" s="100">
        <f>C31*E41</f>
        <v>1124.8</v>
      </c>
      <c r="E31" s="100">
        <f>J45+((C31-C45)*G46)</f>
        <v>948.86</v>
      </c>
      <c r="F31" s="100">
        <f t="shared" si="16"/>
        <v>2073.66</v>
      </c>
      <c r="G31" s="115">
        <f t="shared" si="17"/>
        <v>2073.66</v>
      </c>
      <c r="H31" s="100">
        <v>178848</v>
      </c>
      <c r="I31" s="100">
        <v>1.74535</v>
      </c>
      <c r="J31" s="101" t="s">
        <v>104</v>
      </c>
      <c r="K31" s="100">
        <f t="shared" si="18"/>
        <v>102471.13759417881</v>
      </c>
      <c r="L31" s="100">
        <f t="shared" si="19"/>
        <v>343.27831094049901</v>
      </c>
      <c r="M31" s="101" t="str">
        <f t="shared" si="25"/>
        <v>N</v>
      </c>
      <c r="N31" s="115">
        <f t="shared" si="3"/>
        <v>343.27831094049901</v>
      </c>
      <c r="O31" s="100">
        <f t="shared" si="20"/>
        <v>2416.9383109404989</v>
      </c>
      <c r="P31" s="100">
        <f t="shared" si="21"/>
        <v>199.93831094049892</v>
      </c>
      <c r="Q31" s="100">
        <f t="shared" si="26"/>
        <v>9.0184172729137995</v>
      </c>
      <c r="R31" s="101" t="str">
        <f t="shared" si="15"/>
        <v>N</v>
      </c>
      <c r="S31" s="100">
        <f>O31</f>
        <v>2416.9383109404989</v>
      </c>
    </row>
    <row r="32" spans="1:22" s="97" customFormat="1" x14ac:dyDescent="0.35">
      <c r="A32" s="98" t="s">
        <v>7</v>
      </c>
      <c r="B32" s="99">
        <v>1901</v>
      </c>
      <c r="C32" s="119">
        <v>685</v>
      </c>
      <c r="D32" s="100">
        <f>C32*E41</f>
        <v>1301.5</v>
      </c>
      <c r="E32" s="100">
        <f>J45+((C32-C45)*G46)</f>
        <v>1072.55</v>
      </c>
      <c r="F32" s="100">
        <f t="shared" si="16"/>
        <v>2374.0500000000002</v>
      </c>
      <c r="G32" s="115">
        <f t="shared" si="17"/>
        <v>2374.0500000000002</v>
      </c>
      <c r="H32" s="100">
        <v>2223277</v>
      </c>
      <c r="I32" s="100">
        <v>83.484999999999999</v>
      </c>
      <c r="J32" s="101" t="s">
        <v>105</v>
      </c>
      <c r="K32" s="100">
        <f t="shared" si="18"/>
        <v>26630.855842366891</v>
      </c>
      <c r="L32" s="100">
        <f t="shared" si="19"/>
        <v>89.213367071929085</v>
      </c>
      <c r="M32" s="101" t="str">
        <f t="shared" si="25"/>
        <v>N</v>
      </c>
      <c r="N32" s="115">
        <f t="shared" si="3"/>
        <v>89.213367071929085</v>
      </c>
      <c r="O32" s="100">
        <f t="shared" si="20"/>
        <v>2463.2633670719292</v>
      </c>
      <c r="P32" s="100">
        <f t="shared" si="21"/>
        <v>562.26336707192922</v>
      </c>
      <c r="Q32" s="100">
        <f t="shared" si="26"/>
        <v>29.577241823878442</v>
      </c>
      <c r="R32" s="101" t="str">
        <f t="shared" si="15"/>
        <v>N</v>
      </c>
      <c r="S32" s="100">
        <f>O32</f>
        <v>2463.2633670719292</v>
      </c>
      <c r="T32" s="118" t="s">
        <v>115</v>
      </c>
      <c r="V32" s="97" t="s">
        <v>118</v>
      </c>
    </row>
    <row r="33" spans="1:21" s="97" customFormat="1" x14ac:dyDescent="0.35">
      <c r="A33" s="98" t="s">
        <v>8</v>
      </c>
      <c r="B33" s="99">
        <v>911</v>
      </c>
      <c r="C33" s="119">
        <v>149</v>
      </c>
      <c r="D33" s="100">
        <f>C33*E41</f>
        <v>283.09999999999997</v>
      </c>
      <c r="E33" s="100">
        <f>J43+((C33-C43)*G44)</f>
        <v>273.78999999999996</v>
      </c>
      <c r="F33" s="100">
        <f t="shared" si="16"/>
        <v>556.88999999999987</v>
      </c>
      <c r="G33" s="115">
        <f t="shared" si="17"/>
        <v>556.88999999999987</v>
      </c>
      <c r="H33" s="100">
        <v>123125</v>
      </c>
      <c r="I33" s="100">
        <v>1.7804500000000001</v>
      </c>
      <c r="J33" s="101" t="s">
        <v>106</v>
      </c>
      <c r="K33" s="100">
        <f t="shared" si="18"/>
        <v>69153.86559577634</v>
      </c>
      <c r="L33" s="100">
        <f t="shared" si="19"/>
        <v>231.66544974585074</v>
      </c>
      <c r="M33" s="101" t="str">
        <f t="shared" si="25"/>
        <v>N</v>
      </c>
      <c r="N33" s="115">
        <f t="shared" si="3"/>
        <v>231.66544974585074</v>
      </c>
      <c r="O33" s="100">
        <f t="shared" si="20"/>
        <v>788.55544974585064</v>
      </c>
      <c r="P33" s="100">
        <f t="shared" si="21"/>
        <v>-122.44455025414936</v>
      </c>
      <c r="Q33" s="100">
        <f t="shared" si="26"/>
        <v>-13.440675110224957</v>
      </c>
      <c r="R33" s="101" t="str">
        <f t="shared" si="15"/>
        <v>N</v>
      </c>
      <c r="S33" s="100">
        <f>O33</f>
        <v>788.55544974585064</v>
      </c>
    </row>
    <row r="34" spans="1:21" s="97" customFormat="1" x14ac:dyDescent="0.35">
      <c r="A34" s="98" t="s">
        <v>101</v>
      </c>
      <c r="B34" s="99">
        <v>2399</v>
      </c>
      <c r="C34" s="119">
        <v>1073</v>
      </c>
      <c r="D34" s="100">
        <f>C34*E41</f>
        <v>2038.6999999999998</v>
      </c>
      <c r="E34" s="100">
        <f>J46+((C34-C46)*G47)</f>
        <v>1574.72</v>
      </c>
      <c r="F34" s="100">
        <f t="shared" si="16"/>
        <v>3613.42</v>
      </c>
      <c r="G34" s="115">
        <f t="shared" si="17"/>
        <v>3613.42</v>
      </c>
      <c r="H34" s="100">
        <v>16635901</v>
      </c>
      <c r="I34" s="100">
        <v>188.12576999999999</v>
      </c>
      <c r="J34" s="101" t="s">
        <v>107</v>
      </c>
      <c r="K34" s="100">
        <f t="shared" si="18"/>
        <v>88429.676593483178</v>
      </c>
      <c r="L34" s="100">
        <f t="shared" si="19"/>
        <v>296.23941658816864</v>
      </c>
      <c r="M34" s="101" t="str">
        <f t="shared" si="25"/>
        <v>N</v>
      </c>
      <c r="N34" s="115">
        <f>IF(L34&gt;G34,G34,L34)</f>
        <v>296.23941658816864</v>
      </c>
      <c r="O34" s="100">
        <f t="shared" si="20"/>
        <v>3909.6594165881688</v>
      </c>
      <c r="P34" s="100">
        <f t="shared" si="21"/>
        <v>1510.6594165881688</v>
      </c>
      <c r="Q34" s="100">
        <f t="shared" ref="Q34" si="27">P34/B34*100</f>
        <v>62.970380016180435</v>
      </c>
      <c r="R34" s="101" t="str">
        <f t="shared" si="15"/>
        <v>Y</v>
      </c>
      <c r="S34" s="100">
        <f>1.5*B34</f>
        <v>3598.5</v>
      </c>
    </row>
    <row r="35" spans="1:21" s="97" customFormat="1" x14ac:dyDescent="0.35">
      <c r="A35" s="98" t="s">
        <v>9</v>
      </c>
      <c r="B35" s="99">
        <v>57868</v>
      </c>
      <c r="C35" s="119">
        <v>18260</v>
      </c>
      <c r="D35" s="100">
        <f>C35*E41</f>
        <v>34694</v>
      </c>
      <c r="E35" s="100">
        <f>J49+((C35-C49)*G50)</f>
        <v>12515.3</v>
      </c>
      <c r="F35" s="100">
        <f t="shared" si="16"/>
        <v>47209.3</v>
      </c>
      <c r="G35" s="115">
        <f t="shared" si="17"/>
        <v>47209.3</v>
      </c>
      <c r="H35" s="100">
        <v>4387769</v>
      </c>
      <c r="I35" s="100">
        <v>1</v>
      </c>
      <c r="J35" s="101" t="s">
        <v>36</v>
      </c>
      <c r="K35" s="100">
        <f t="shared" si="18"/>
        <v>4387769</v>
      </c>
      <c r="L35" s="100">
        <f t="shared" si="19"/>
        <v>14699.02615</v>
      </c>
      <c r="M35" s="101" t="str">
        <f t="shared" si="25"/>
        <v>N</v>
      </c>
      <c r="N35" s="115">
        <f t="shared" si="3"/>
        <v>14699.02615</v>
      </c>
      <c r="O35" s="100">
        <f t="shared" si="20"/>
        <v>61908.326150000001</v>
      </c>
      <c r="P35" s="100">
        <f t="shared" si="21"/>
        <v>4040.3261500000008</v>
      </c>
      <c r="Q35" s="100">
        <f t="shared" ref="Q35" si="28">P35/B35*100</f>
        <v>6.9819695686735335</v>
      </c>
      <c r="R35" s="101" t="str">
        <f t="shared" si="15"/>
        <v>N</v>
      </c>
      <c r="S35" s="100">
        <f>O35</f>
        <v>61908.326150000001</v>
      </c>
      <c r="T35" s="118"/>
      <c r="U35" s="118"/>
    </row>
    <row r="36" spans="1:21" s="97" customFormat="1" x14ac:dyDescent="0.35">
      <c r="A36" s="92"/>
      <c r="B36" s="93"/>
      <c r="C36" s="120"/>
      <c r="D36" s="95"/>
      <c r="E36" s="95"/>
      <c r="F36" s="95"/>
      <c r="G36" s="115"/>
      <c r="H36" s="95"/>
      <c r="I36" s="95"/>
      <c r="J36" s="96"/>
      <c r="K36" s="95"/>
      <c r="L36" s="95"/>
      <c r="M36" s="96"/>
      <c r="N36" s="115"/>
      <c r="O36" s="95"/>
      <c r="P36" s="95"/>
      <c r="Q36" s="95"/>
      <c r="R36" s="96"/>
      <c r="S36" s="95"/>
    </row>
    <row r="37" spans="1:21" s="97" customFormat="1" x14ac:dyDescent="0.35">
      <c r="A37" s="102" t="s">
        <v>108</v>
      </c>
      <c r="B37" s="103">
        <f>SUBTOTAL(9, B23:B35)</f>
        <v>97036</v>
      </c>
      <c r="C37" s="122">
        <f>SUBTOTAL(9, C23:C35)</f>
        <v>30058</v>
      </c>
      <c r="D37" s="95"/>
      <c r="E37" s="95"/>
      <c r="F37" s="95"/>
      <c r="G37" s="115"/>
      <c r="H37" s="95"/>
      <c r="I37" s="95"/>
      <c r="J37" s="96"/>
      <c r="K37" s="95"/>
      <c r="L37" s="95"/>
      <c r="M37" s="96"/>
      <c r="N37" s="115"/>
      <c r="O37" s="95"/>
      <c r="P37" s="95"/>
      <c r="Q37" s="95"/>
      <c r="R37" s="96"/>
      <c r="S37" s="103">
        <f>SUBTOTAL(9, S23:S35)</f>
        <v>108035.90946219214</v>
      </c>
    </row>
    <row r="38" spans="1:21" s="97" customFormat="1" x14ac:dyDescent="0.35">
      <c r="A38" s="102" t="s">
        <v>10</v>
      </c>
      <c r="B38" s="103">
        <f>B21+B37</f>
        <v>104085</v>
      </c>
      <c r="C38" s="122">
        <f>C21+C37</f>
        <v>32680</v>
      </c>
      <c r="D38" s="95"/>
      <c r="E38" s="95"/>
      <c r="F38" s="95"/>
      <c r="G38" s="115"/>
      <c r="H38" s="95"/>
      <c r="I38" s="95"/>
      <c r="J38" s="96"/>
      <c r="K38" s="95"/>
      <c r="L38" s="95"/>
      <c r="M38" s="96"/>
      <c r="N38" s="115"/>
      <c r="O38" s="95"/>
      <c r="P38" s="95"/>
      <c r="Q38" s="95"/>
      <c r="R38" s="96"/>
      <c r="S38" s="103">
        <f>S21+S37</f>
        <v>116912.87434538617</v>
      </c>
    </row>
    <row r="39" spans="1:21" x14ac:dyDescent="0.35">
      <c r="H39" s="97"/>
      <c r="K39" s="107"/>
      <c r="S39" s="107"/>
    </row>
    <row r="40" spans="1:21" x14ac:dyDescent="0.35">
      <c r="C40" s="2"/>
      <c r="D40" s="2"/>
      <c r="E40" s="108" t="s">
        <v>95</v>
      </c>
      <c r="F40" s="108" t="s">
        <v>96</v>
      </c>
      <c r="G40" s="108" t="s">
        <v>10</v>
      </c>
      <c r="H40" s="109"/>
      <c r="I40" s="2"/>
      <c r="J40" s="2" t="s">
        <v>97</v>
      </c>
      <c r="K40" s="108"/>
      <c r="S40" s="107"/>
    </row>
    <row r="41" spans="1:21" x14ac:dyDescent="0.35">
      <c r="C41" s="2"/>
      <c r="D41" s="59"/>
      <c r="E41" s="2">
        <v>1.9</v>
      </c>
      <c r="F41" s="2"/>
      <c r="G41" s="2"/>
      <c r="H41" s="109"/>
      <c r="I41" s="2"/>
      <c r="J41" s="2"/>
      <c r="K41" s="108"/>
      <c r="S41" s="107"/>
    </row>
    <row r="42" spans="1:21" x14ac:dyDescent="0.35">
      <c r="C42" s="110" t="s">
        <v>94</v>
      </c>
      <c r="D42" s="114"/>
      <c r="E42" s="2"/>
      <c r="F42" s="2"/>
      <c r="G42" s="2"/>
      <c r="H42" s="109"/>
      <c r="I42" s="2"/>
      <c r="J42" s="2" t="s">
        <v>21</v>
      </c>
      <c r="K42" s="108"/>
      <c r="S42" s="107"/>
    </row>
    <row r="43" spans="1:21" x14ac:dyDescent="0.35">
      <c r="C43" s="110">
        <v>100</v>
      </c>
      <c r="D43" s="113">
        <v>100</v>
      </c>
      <c r="E43" s="108">
        <v>1.9</v>
      </c>
      <c r="F43" s="108">
        <v>1</v>
      </c>
      <c r="G43" s="111">
        <f>E43*F43</f>
        <v>1.9</v>
      </c>
      <c r="H43" s="109"/>
      <c r="I43" s="2">
        <f>D43*E43*F43</f>
        <v>190</v>
      </c>
      <c r="J43" s="112">
        <v>190</v>
      </c>
      <c r="K43" s="108"/>
      <c r="S43" s="107"/>
    </row>
    <row r="44" spans="1:21" x14ac:dyDescent="0.35">
      <c r="C44" s="110">
        <v>250</v>
      </c>
      <c r="D44" s="113">
        <v>150</v>
      </c>
      <c r="E44" s="108">
        <v>1.9</v>
      </c>
      <c r="F44" s="108">
        <v>0.9</v>
      </c>
      <c r="G44" s="111">
        <f t="shared" ref="G44:G49" si="29">E44*F44</f>
        <v>1.71</v>
      </c>
      <c r="H44" s="109"/>
      <c r="I44" s="2">
        <f t="shared" ref="I44:I50" si="30">D44*E44*F44</f>
        <v>256.5</v>
      </c>
      <c r="J44" s="112">
        <f>J43+I44</f>
        <v>446.5</v>
      </c>
      <c r="K44" s="108"/>
      <c r="S44" s="107"/>
    </row>
    <row r="45" spans="1:21" x14ac:dyDescent="0.35">
      <c r="C45" s="110">
        <v>500</v>
      </c>
      <c r="D45" s="113">
        <v>250</v>
      </c>
      <c r="E45" s="108">
        <v>1.9</v>
      </c>
      <c r="F45" s="108">
        <v>0.8</v>
      </c>
      <c r="G45" s="111">
        <f t="shared" si="29"/>
        <v>1.52</v>
      </c>
      <c r="H45" s="109"/>
      <c r="I45" s="2">
        <f t="shared" si="30"/>
        <v>380</v>
      </c>
      <c r="J45" s="112">
        <f>J44+I45</f>
        <v>826.5</v>
      </c>
      <c r="K45" s="108"/>
      <c r="S45" s="107"/>
    </row>
    <row r="46" spans="1:21" x14ac:dyDescent="0.35">
      <c r="C46" s="110">
        <v>1000</v>
      </c>
      <c r="D46" s="113">
        <v>500</v>
      </c>
      <c r="E46" s="108">
        <v>1.9</v>
      </c>
      <c r="F46" s="108">
        <v>0.7</v>
      </c>
      <c r="G46" s="111">
        <f>E46*F46</f>
        <v>1.3299999999999998</v>
      </c>
      <c r="H46" s="109"/>
      <c r="I46" s="2">
        <f t="shared" si="30"/>
        <v>665</v>
      </c>
      <c r="J46" s="112">
        <f>J45+I46</f>
        <v>1491.5</v>
      </c>
      <c r="K46" s="108"/>
      <c r="S46" s="107"/>
    </row>
    <row r="47" spans="1:21" x14ac:dyDescent="0.35">
      <c r="C47" s="110">
        <v>2500</v>
      </c>
      <c r="D47" s="113">
        <v>1500</v>
      </c>
      <c r="E47" s="108">
        <v>1.9</v>
      </c>
      <c r="F47" s="108">
        <v>0.6</v>
      </c>
      <c r="G47" s="111">
        <f t="shared" si="29"/>
        <v>1.1399999999999999</v>
      </c>
      <c r="H47" s="109"/>
      <c r="I47" s="2">
        <f t="shared" si="30"/>
        <v>1710</v>
      </c>
      <c r="J47" s="112">
        <f t="shared" ref="J47:J50" si="31">J46+I47</f>
        <v>3201.5</v>
      </c>
      <c r="K47" s="108"/>
      <c r="S47" s="107"/>
    </row>
    <row r="48" spans="1:21" x14ac:dyDescent="0.35">
      <c r="C48" s="110">
        <v>5000</v>
      </c>
      <c r="D48" s="113">
        <v>2500</v>
      </c>
      <c r="E48" s="108">
        <v>1.9</v>
      </c>
      <c r="F48" s="108">
        <v>0.5</v>
      </c>
      <c r="G48" s="111">
        <f t="shared" si="29"/>
        <v>0.95</v>
      </c>
      <c r="H48" s="109"/>
      <c r="I48" s="2">
        <f t="shared" si="30"/>
        <v>2375</v>
      </c>
      <c r="J48" s="112">
        <f t="shared" si="31"/>
        <v>5576.5</v>
      </c>
      <c r="K48" s="108"/>
      <c r="S48" s="107"/>
    </row>
    <row r="49" spans="3:19" x14ac:dyDescent="0.35">
      <c r="C49" s="110">
        <v>10000</v>
      </c>
      <c r="D49" s="113">
        <v>5000</v>
      </c>
      <c r="E49" s="108">
        <v>1.9</v>
      </c>
      <c r="F49" s="108">
        <v>0.4</v>
      </c>
      <c r="G49" s="111">
        <f t="shared" si="29"/>
        <v>0.76</v>
      </c>
      <c r="H49" s="109"/>
      <c r="I49" s="2">
        <f t="shared" si="30"/>
        <v>3800</v>
      </c>
      <c r="J49" s="112">
        <f t="shared" si="31"/>
        <v>9376.5</v>
      </c>
      <c r="K49" s="108"/>
      <c r="S49" s="107"/>
    </row>
    <row r="50" spans="3:19" x14ac:dyDescent="0.35">
      <c r="C50" s="110">
        <v>20000</v>
      </c>
      <c r="D50" s="113">
        <v>10000</v>
      </c>
      <c r="E50" s="108">
        <v>1.9</v>
      </c>
      <c r="F50" s="108">
        <v>0.2</v>
      </c>
      <c r="G50" s="111">
        <f>E50*F50</f>
        <v>0.38</v>
      </c>
      <c r="H50" s="109"/>
      <c r="I50" s="2">
        <f t="shared" si="30"/>
        <v>3800</v>
      </c>
      <c r="J50" s="112">
        <f t="shared" si="31"/>
        <v>13176.5</v>
      </c>
      <c r="K50" s="108"/>
      <c r="S50" s="107"/>
    </row>
    <row r="51" spans="3:19" x14ac:dyDescent="0.35">
      <c r="C51" s="2"/>
      <c r="D51" s="2"/>
      <c r="E51" s="2"/>
      <c r="F51" s="2"/>
      <c r="G51" s="2"/>
      <c r="H51" s="109"/>
      <c r="I51" s="2"/>
      <c r="J51" s="2"/>
      <c r="K51" s="108"/>
      <c r="S51" s="107"/>
    </row>
    <row r="52" spans="3:19" x14ac:dyDescent="0.35">
      <c r="H52" s="97"/>
      <c r="K52" s="107"/>
      <c r="S52" s="107"/>
    </row>
    <row r="53" spans="3:19" x14ac:dyDescent="0.35">
      <c r="H53" s="97"/>
      <c r="K53" s="107"/>
      <c r="S53" s="107"/>
    </row>
  </sheetData>
  <mergeCells count="19">
    <mergeCell ref="I1:I5"/>
    <mergeCell ref="J1:J5"/>
    <mergeCell ref="K1:K5"/>
    <mergeCell ref="A1:A5"/>
    <mergeCell ref="S1:S5"/>
    <mergeCell ref="M1:M5"/>
    <mergeCell ref="N1:N5"/>
    <mergeCell ref="O1:O5"/>
    <mergeCell ref="P1:P5"/>
    <mergeCell ref="Q1:Q5"/>
    <mergeCell ref="R1:R5"/>
    <mergeCell ref="L1:L5"/>
    <mergeCell ref="B1:B5"/>
    <mergeCell ref="C1:C5"/>
    <mergeCell ref="D1:D5"/>
    <mergeCell ref="E1:E5"/>
    <mergeCell ref="F1:F5"/>
    <mergeCell ref="G1:G5"/>
    <mergeCell ref="H1:H5"/>
  </mergeCells>
  <pageMargins left="0.7" right="0.7" top="0.75" bottom="0.75" header="0.3" footer="0.3"/>
  <pageSetup paperSize="8" scale="76" orientation="landscape" r:id="rId1"/>
  <ignoredErrors>
    <ignoredError sqref="F11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Fee Calc 2018 </vt:lpstr>
      <vt:lpstr>Fee Tracker 2018 </vt:lpstr>
      <vt:lpstr>Fee Tracker 2017 </vt:lpstr>
      <vt:lpstr>Fee Tracker 2016</vt:lpstr>
      <vt:lpstr>Fee Calc 2017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Duncan Snook</dc:creator>
  <cp:lastModifiedBy>Keith Newton (INT)</cp:lastModifiedBy>
  <cp:lastPrinted>2017-11-29T14:12:43Z</cp:lastPrinted>
  <dcterms:created xsi:type="dcterms:W3CDTF">2015-02-09T11:23:25Z</dcterms:created>
  <dcterms:modified xsi:type="dcterms:W3CDTF">2018-09-17T09:57:48Z</dcterms:modified>
</cp:coreProperties>
</file>