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S\Committees\IAC\2019\May 2019\pre read\"/>
    </mc:Choice>
  </mc:AlternateContent>
  <bookViews>
    <workbookView xWindow="-110" yWindow="-110" windowWidth="19430" windowHeight="10430" activeTab="1"/>
  </bookViews>
  <sheets>
    <sheet name="Cashflow" sheetId="1" r:id="rId1"/>
    <sheet name="Detailed cashflow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4" l="1"/>
  <c r="D25" i="4"/>
  <c r="E25" i="4"/>
  <c r="F25" i="4"/>
  <c r="G25" i="4"/>
  <c r="H25" i="4"/>
  <c r="I25" i="4"/>
  <c r="J25" i="4"/>
  <c r="K7" i="4" l="1"/>
  <c r="J7" i="4"/>
  <c r="I7" i="4"/>
  <c r="H7" i="4"/>
  <c r="G7" i="4"/>
  <c r="F7" i="4"/>
  <c r="E7" i="4"/>
  <c r="D7" i="4"/>
  <c r="C42" i="1"/>
  <c r="E6" i="4"/>
  <c r="F6" i="4" s="1"/>
  <c r="G6" i="4" s="1"/>
  <c r="H6" i="4" s="1"/>
  <c r="I6" i="4" s="1"/>
  <c r="J6" i="4" s="1"/>
  <c r="K6" i="4" s="1"/>
  <c r="E10" i="4" l="1"/>
  <c r="E26" i="4" s="1"/>
  <c r="G10" i="4"/>
  <c r="G26" i="4" s="1"/>
  <c r="I10" i="4"/>
  <c r="I26" i="4" s="1"/>
  <c r="K10" i="4"/>
  <c r="K26" i="4" s="1"/>
  <c r="D10" i="4"/>
  <c r="D26" i="4" s="1"/>
  <c r="D29" i="4" s="1"/>
  <c r="F10" i="4"/>
  <c r="F26" i="4" s="1"/>
  <c r="H10" i="4"/>
  <c r="H26" i="4" s="1"/>
  <c r="J10" i="4"/>
  <c r="J26" i="4" s="1"/>
  <c r="J14" i="1"/>
  <c r="J18" i="1" s="1"/>
  <c r="E29" i="4" l="1"/>
  <c r="F29" i="4" s="1"/>
  <c r="G29" i="4" s="1"/>
  <c r="H29" i="4" s="1"/>
  <c r="I29" i="4" s="1"/>
  <c r="J29" i="4" s="1"/>
  <c r="K29" i="4" s="1"/>
  <c r="G9" i="1"/>
  <c r="F7" i="1"/>
  <c r="C29" i="1" l="1"/>
  <c r="I14" i="1"/>
  <c r="I18" i="1" s="1"/>
  <c r="H14" i="1"/>
  <c r="H18" i="1" s="1"/>
  <c r="G14" i="1"/>
  <c r="G15" i="1"/>
  <c r="F14" i="1"/>
  <c r="F15" i="1"/>
  <c r="E14" i="1"/>
  <c r="E15" i="1"/>
  <c r="D15" i="1"/>
  <c r="O5" i="1"/>
  <c r="O6" i="1"/>
  <c r="N5" i="1"/>
  <c r="N9" i="1" s="1"/>
  <c r="M5" i="1"/>
  <c r="M6" i="1"/>
  <c r="L5" i="1"/>
  <c r="K5" i="1"/>
  <c r="K9" i="1" s="1"/>
  <c r="J5" i="1"/>
  <c r="J6" i="1"/>
  <c r="I7" i="1"/>
  <c r="J4" i="1" s="1"/>
  <c r="I9" i="1"/>
  <c r="G7" i="1"/>
  <c r="L6" i="1"/>
  <c r="L9" i="1" s="1"/>
  <c r="H6" i="1"/>
  <c r="J9" i="1" l="1"/>
  <c r="P5" i="1"/>
  <c r="J23" i="1"/>
  <c r="P15" i="1"/>
  <c r="D23" i="1" s="1"/>
  <c r="H9" i="1"/>
  <c r="P6" i="1"/>
  <c r="C23" i="1" s="1"/>
  <c r="J22" i="1"/>
  <c r="J24" i="1" s="1"/>
  <c r="P14" i="1"/>
  <c r="D18" i="1"/>
  <c r="M9" i="1"/>
  <c r="O9" i="1"/>
  <c r="E18" i="1"/>
  <c r="G18" i="1"/>
  <c r="F18" i="1"/>
  <c r="H7" i="1"/>
  <c r="P9" i="1" l="1"/>
  <c r="C22" i="1"/>
  <c r="C24" i="1" s="1"/>
  <c r="P18" i="1"/>
  <c r="D22" i="1"/>
  <c r="D24" i="1" s="1"/>
  <c r="J7" i="1"/>
  <c r="K4" i="1" l="1"/>
  <c r="K7" i="1" s="1"/>
  <c r="L4" i="1" l="1"/>
  <c r="L7" i="1" s="1"/>
  <c r="M4" i="1" l="1"/>
  <c r="M7" i="1" s="1"/>
  <c r="N4" i="1" l="1"/>
  <c r="N7" i="1" s="1"/>
  <c r="O4" i="1" l="1"/>
  <c r="O7" i="1" s="1"/>
  <c r="D13" i="1" l="1"/>
  <c r="D16" i="1" s="1"/>
  <c r="E13" i="1" l="1"/>
  <c r="E16" i="1" s="1"/>
  <c r="F13" i="1" l="1"/>
  <c r="F16" i="1" s="1"/>
  <c r="G13" i="1" l="1"/>
  <c r="G16" i="1" s="1"/>
  <c r="H13" i="1" l="1"/>
  <c r="H16" i="1" s="1"/>
  <c r="I13" i="1" l="1"/>
  <c r="I16" i="1" s="1"/>
  <c r="J13" i="1" s="1"/>
  <c r="J16" i="1" s="1"/>
</calcChain>
</file>

<file path=xl/comments1.xml><?xml version="1.0" encoding="utf-8"?>
<comments xmlns="http://schemas.openxmlformats.org/spreadsheetml/2006/main">
  <authors>
    <author>Anna Mizerska</author>
  </authors>
  <commentList>
    <comment ref="J14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Investment cash not included</t>
        </r>
      </text>
    </comment>
  </commentList>
</comments>
</file>

<file path=xl/sharedStrings.xml><?xml version="1.0" encoding="utf-8"?>
<sst xmlns="http://schemas.openxmlformats.org/spreadsheetml/2006/main" count="75" uniqueCount="61">
  <si>
    <t>Cash In</t>
  </si>
  <si>
    <t>Cash out</t>
  </si>
  <si>
    <t>Bank</t>
  </si>
  <si>
    <t>Balance</t>
  </si>
  <si>
    <t>Total</t>
  </si>
  <si>
    <t xml:space="preserve">Average </t>
  </si>
  <si>
    <t>Cash in</t>
  </si>
  <si>
    <t>Average monthly shortage</t>
  </si>
  <si>
    <t>£75k Sale of Investments Oct 17</t>
  </si>
  <si>
    <t>Debtors Control Acc</t>
  </si>
  <si>
    <t>Bad debt provision</t>
  </si>
  <si>
    <t>Net in/out</t>
  </si>
  <si>
    <t>Annual fee due</t>
  </si>
  <si>
    <t>Balance c/d</t>
  </si>
  <si>
    <t>Bank b/f</t>
  </si>
  <si>
    <t>Min Income</t>
  </si>
  <si>
    <t>Max Cost</t>
  </si>
  <si>
    <t>Min/Max</t>
  </si>
  <si>
    <t>New policy Oct -18</t>
  </si>
  <si>
    <t>Unknown payment date</t>
  </si>
  <si>
    <t>7 months</t>
  </si>
  <si>
    <t>Max monthly shortage</t>
  </si>
  <si>
    <t>Educational Income</t>
  </si>
  <si>
    <t>Annual fee</t>
  </si>
  <si>
    <t>Payment now due £63,541.52</t>
  </si>
  <si>
    <t>will pay in May</t>
  </si>
  <si>
    <t>will pay in June</t>
  </si>
  <si>
    <t>will pay in July</t>
  </si>
  <si>
    <t>will pay in August</t>
  </si>
  <si>
    <t>will pay in September</t>
  </si>
  <si>
    <t>will pay in October</t>
  </si>
  <si>
    <t>will pay in November</t>
  </si>
  <si>
    <t>will pay in December</t>
  </si>
  <si>
    <t xml:space="preserve">Cash out </t>
  </si>
  <si>
    <t>KN</t>
  </si>
  <si>
    <t>JH &amp; ZR</t>
  </si>
  <si>
    <t>DM &amp; Zorro Logistics</t>
  </si>
  <si>
    <t>Secretariat Cost</t>
  </si>
  <si>
    <t>Pink</t>
  </si>
  <si>
    <t>Kazakhstan Project</t>
  </si>
  <si>
    <t>Conference cost</t>
  </si>
  <si>
    <t>KN Bcard</t>
  </si>
  <si>
    <t>CILT UK - Licence fee</t>
  </si>
  <si>
    <t>DHL</t>
  </si>
  <si>
    <t>Based on the forecast</t>
  </si>
  <si>
    <t>Monthly invoice</t>
  </si>
  <si>
    <t>Balancing figure to pay</t>
  </si>
  <si>
    <t>Average monthly</t>
  </si>
  <si>
    <t>Total IN/OUT</t>
  </si>
  <si>
    <t>Bank c/d</t>
  </si>
  <si>
    <t>Investec</t>
  </si>
  <si>
    <t>Website</t>
  </si>
  <si>
    <t>Other cost</t>
  </si>
  <si>
    <t>Updated KN</t>
  </si>
  <si>
    <t>Based on average - agreed with KN &amp; in 5+7 Forecast</t>
  </si>
  <si>
    <t>Based on the forecast - amended to reflect v 1.4</t>
  </si>
  <si>
    <t>£25k forecast + £12k Endowment - 50% in May, 50% in June - already spent £4.5k in April - S Culey &amp; 4 hotel rooms</t>
  </si>
  <si>
    <t>Average monthly - duplication of costs with Convention on Barclaycard in May - July</t>
  </si>
  <si>
    <t>Education Devp Costs, Sundry, Committee costs &amp; PD Expenses &amp; VP costs not in Convention or Barclaycard</t>
  </si>
  <si>
    <t>Moved the actual bank receipt of the Kazakhstan payments one month after due</t>
  </si>
  <si>
    <t>Updated KN - based on spend committed &amp; forecast less Pink retainer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</si>
</sst>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[Red]\(#,##0.00\)"/>
    <numFmt numFmtId="165" formatCode="[$-10809]#,##0.00"/>
    <numFmt numFmtId="166" formatCode="#,##0.00;[Red]#,##0.00"/>
    <numFmt numFmtId="167" formatCode="#,##0.000000000000;[Red]#,##0.00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Segoe UI"/>
      <family val="2"/>
    </font>
    <font>
      <sz val="11"/>
      <name val="Calibri"/>
      <family val="2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Segoe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4" fontId="0" fillId="0" borderId="0" xfId="0" applyNumberFormat="1"/>
    <xf numFmtId="164" fontId="0" fillId="0" borderId="0" xfId="0" applyNumberFormat="1" applyFill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165" fontId="3" fillId="0" borderId="0" xfId="0" applyNumberFormat="1" applyFont="1" applyFill="1" applyBorder="1" applyAlignment="1">
      <alignment vertical="top" wrapText="1" readingOrder="1"/>
    </xf>
    <xf numFmtId="164" fontId="0" fillId="0" borderId="1" xfId="0" applyNumberFormat="1" applyBorder="1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" fontId="0" fillId="0" borderId="1" xfId="0" applyNumberFormat="1" applyBorder="1"/>
    <xf numFmtId="43" fontId="0" fillId="0" borderId="1" xfId="1" applyFont="1" applyBorder="1"/>
    <xf numFmtId="0" fontId="0" fillId="0" borderId="1" xfId="0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4" fontId="0" fillId="0" borderId="2" xfId="0" applyNumberFormat="1" applyBorder="1"/>
    <xf numFmtId="0" fontId="0" fillId="0" borderId="2" xfId="0" applyBorder="1"/>
    <xf numFmtId="164" fontId="2" fillId="0" borderId="2" xfId="0" applyNumberFormat="1" applyFont="1" applyBorder="1"/>
    <xf numFmtId="17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166" fontId="3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/>
    <xf numFmtId="0" fontId="6" fillId="0" borderId="0" xfId="0" applyFont="1"/>
    <xf numFmtId="0" fontId="7" fillId="0" borderId="0" xfId="0" applyFont="1"/>
    <xf numFmtId="0" fontId="4" fillId="0" borderId="0" xfId="0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vertical="top" wrapText="1" readingOrder="1"/>
    </xf>
    <xf numFmtId="10" fontId="3" fillId="0" borderId="0" xfId="0" applyNumberFormat="1" applyFont="1" applyFill="1" applyBorder="1" applyAlignment="1">
      <alignment vertical="top" wrapText="1" readingOrder="1"/>
    </xf>
    <xf numFmtId="165" fontId="5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vertical="top" wrapText="1" readingOrder="1"/>
    </xf>
    <xf numFmtId="167" fontId="0" fillId="0" borderId="0" xfId="0" applyNumberFormat="1"/>
    <xf numFmtId="43" fontId="0" fillId="0" borderId="0" xfId="1" applyFont="1"/>
    <xf numFmtId="9" fontId="0" fillId="0" borderId="0" xfId="0" applyNumberFormat="1"/>
    <xf numFmtId="164" fontId="3" fillId="0" borderId="0" xfId="0" applyNumberFormat="1" applyFont="1" applyFill="1" applyBorder="1" applyAlignment="1">
      <alignment vertical="top" wrapText="1" readingOrder="1"/>
    </xf>
    <xf numFmtId="17" fontId="2" fillId="0" borderId="0" xfId="0" applyNumberFormat="1" applyFont="1" applyAlignment="1">
      <alignment horizontal="right"/>
    </xf>
    <xf numFmtId="0" fontId="0" fillId="0" borderId="0" xfId="0" applyFont="1"/>
    <xf numFmtId="164" fontId="5" fillId="0" borderId="0" xfId="0" applyNumberFormat="1" applyFont="1" applyFill="1" applyBorder="1" applyAlignment="1">
      <alignment vertical="top" wrapText="1" readingOrder="1"/>
    </xf>
    <xf numFmtId="165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165" fontId="3" fillId="0" borderId="0" xfId="0" applyNumberFormat="1" applyFont="1" applyFill="1" applyBorder="1" applyAlignment="1">
      <alignment vertical="top" wrapText="1" readingOrder="1"/>
    </xf>
    <xf numFmtId="165" fontId="3" fillId="2" borderId="0" xfId="0" applyNumberFormat="1" applyFont="1" applyFill="1" applyBorder="1" applyAlignment="1">
      <alignment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R42"/>
  <sheetViews>
    <sheetView topLeftCell="A7" zoomScale="90" zoomScaleNormal="90" workbookViewId="0">
      <selection activeCell="H40" sqref="H40"/>
    </sheetView>
  </sheetViews>
  <sheetFormatPr defaultRowHeight="14.5" x14ac:dyDescent="0.35"/>
  <cols>
    <col min="2" max="2" width="13.7265625" bestFit="1" customWidth="1"/>
    <col min="3" max="3" width="14.453125" customWidth="1"/>
    <col min="4" max="4" width="13.1796875" customWidth="1"/>
    <col min="5" max="5" width="11.1796875" bestFit="1" customWidth="1"/>
    <col min="6" max="6" width="12.26953125" customWidth="1"/>
    <col min="7" max="9" width="11.7265625" bestFit="1" customWidth="1"/>
    <col min="10" max="10" width="12.7265625" bestFit="1" customWidth="1"/>
    <col min="11" max="11" width="13.7265625" customWidth="1"/>
    <col min="12" max="12" width="12.7265625" bestFit="1" customWidth="1"/>
    <col min="13" max="13" width="13.81640625" bestFit="1" customWidth="1"/>
    <col min="14" max="14" width="13.81640625" customWidth="1"/>
    <col min="15" max="15" width="11.1796875" bestFit="1" customWidth="1"/>
    <col min="16" max="16" width="12.1796875" style="13" customWidth="1"/>
  </cols>
  <sheetData>
    <row r="2" spans="2:18" x14ac:dyDescent="0.35">
      <c r="F2" s="10" t="s">
        <v>8</v>
      </c>
    </row>
    <row r="3" spans="2:18" x14ac:dyDescent="0.35">
      <c r="D3" s="10"/>
      <c r="E3" s="10"/>
      <c r="F3" s="26">
        <v>43070</v>
      </c>
      <c r="G3" s="26">
        <v>43101</v>
      </c>
      <c r="H3" s="26">
        <v>43132</v>
      </c>
      <c r="I3" s="26">
        <v>43160</v>
      </c>
      <c r="J3" s="26">
        <v>43191</v>
      </c>
      <c r="K3" s="26">
        <v>43221</v>
      </c>
      <c r="L3" s="26">
        <v>43252</v>
      </c>
      <c r="M3" s="26">
        <v>43282</v>
      </c>
      <c r="N3" s="26">
        <v>43313</v>
      </c>
      <c r="O3" s="26">
        <v>43344</v>
      </c>
      <c r="P3" s="13" t="s">
        <v>4</v>
      </c>
    </row>
    <row r="4" spans="2:18" x14ac:dyDescent="0.35">
      <c r="B4" t="s">
        <v>2</v>
      </c>
      <c r="F4" s="1">
        <v>46260.480000000003</v>
      </c>
      <c r="G4" s="1">
        <v>46370.48</v>
      </c>
      <c r="H4" s="1">
        <v>80815.87000000001</v>
      </c>
      <c r="I4" s="1">
        <v>32974.650000000009</v>
      </c>
      <c r="J4" s="1">
        <f t="shared" ref="J4:O4" si="0">I7</f>
        <v>54191.770000000019</v>
      </c>
      <c r="K4" s="1">
        <f t="shared" si="0"/>
        <v>19049.010000000017</v>
      </c>
      <c r="L4" s="1">
        <f t="shared" si="0"/>
        <v>40663.680000000022</v>
      </c>
      <c r="M4" s="1">
        <f t="shared" si="0"/>
        <v>12207.950000000019</v>
      </c>
      <c r="N4" s="1">
        <f t="shared" si="0"/>
        <v>62626.070000000007</v>
      </c>
      <c r="O4" s="1">
        <f t="shared" si="0"/>
        <v>25195.53</v>
      </c>
    </row>
    <row r="5" spans="2:18" x14ac:dyDescent="0.35">
      <c r="B5" t="s">
        <v>0</v>
      </c>
      <c r="F5" s="1"/>
      <c r="G5" s="1">
        <v>60377.91</v>
      </c>
      <c r="H5" s="1">
        <v>28</v>
      </c>
      <c r="I5" s="1">
        <v>60688.340000000004</v>
      </c>
      <c r="J5" s="1">
        <f>5001+115</f>
        <v>5116</v>
      </c>
      <c r="K5" s="1">
        <f>60264.42+1054</f>
        <v>61318.42</v>
      </c>
      <c r="L5" s="1">
        <f>24968.65+15.8</f>
        <v>24984.45</v>
      </c>
      <c r="M5" s="1">
        <f>94854.56+480-15</f>
        <v>95319.56</v>
      </c>
      <c r="N5">
        <f>28688.42+375</f>
        <v>29063.42</v>
      </c>
      <c r="O5" s="1">
        <f>14630.65-1737.27</f>
        <v>12893.38</v>
      </c>
      <c r="P5" s="19">
        <f>SUM(G5:O5)</f>
        <v>349789.48</v>
      </c>
    </row>
    <row r="6" spans="2:18" x14ac:dyDescent="0.35">
      <c r="B6" t="s">
        <v>1</v>
      </c>
      <c r="F6" s="1"/>
      <c r="G6" s="1">
        <v>-27759.11</v>
      </c>
      <c r="H6" s="1">
        <f>-47992.9-37</f>
        <v>-48029.9</v>
      </c>
      <c r="I6" s="1">
        <v>-39471.22</v>
      </c>
      <c r="J6" s="1">
        <f>-40258.76</f>
        <v>-40258.76</v>
      </c>
      <c r="K6" s="1">
        <v>-39703.75</v>
      </c>
      <c r="L6" s="1">
        <f>-53440.18</f>
        <v>-53440.18</v>
      </c>
      <c r="M6" s="1">
        <f>-44901.44</f>
        <v>-44901.440000000002</v>
      </c>
      <c r="N6" s="1">
        <v>-66493.960000000006</v>
      </c>
      <c r="O6" s="1">
        <f>-36268.7</f>
        <v>-36268.699999999997</v>
      </c>
      <c r="P6" s="19">
        <f>SUM(G6:O6)</f>
        <v>-396327.02</v>
      </c>
    </row>
    <row r="7" spans="2:18" x14ac:dyDescent="0.35">
      <c r="B7" t="s">
        <v>3</v>
      </c>
      <c r="F7" s="1">
        <f t="shared" ref="F7:O7" si="1">SUM(F4:F6)</f>
        <v>46260.480000000003</v>
      </c>
      <c r="G7" s="1">
        <f t="shared" si="1"/>
        <v>78989.280000000013</v>
      </c>
      <c r="H7" s="1">
        <f t="shared" si="1"/>
        <v>32813.970000000008</v>
      </c>
      <c r="I7" s="3">
        <f t="shared" si="1"/>
        <v>54191.770000000019</v>
      </c>
      <c r="J7" s="3">
        <f t="shared" si="1"/>
        <v>19049.010000000017</v>
      </c>
      <c r="K7" s="3">
        <f t="shared" si="1"/>
        <v>40663.680000000022</v>
      </c>
      <c r="L7" s="3">
        <f t="shared" si="1"/>
        <v>12207.950000000019</v>
      </c>
      <c r="M7" s="3">
        <f t="shared" si="1"/>
        <v>62626.070000000007</v>
      </c>
      <c r="N7" s="3">
        <f t="shared" si="1"/>
        <v>25195.53</v>
      </c>
      <c r="O7" s="3">
        <f t="shared" si="1"/>
        <v>1820.2099999999991</v>
      </c>
      <c r="P7" s="20"/>
    </row>
    <row r="9" spans="2:18" x14ac:dyDescent="0.35">
      <c r="B9" t="s">
        <v>11</v>
      </c>
      <c r="D9" s="23"/>
      <c r="E9" s="23"/>
      <c r="F9" s="23"/>
      <c r="G9" s="23">
        <f t="shared" ref="G9:O9" si="2">G5+G6</f>
        <v>32618.800000000003</v>
      </c>
      <c r="H9" s="23">
        <f t="shared" si="2"/>
        <v>-48001.9</v>
      </c>
      <c r="I9" s="23">
        <f t="shared" si="2"/>
        <v>21217.120000000003</v>
      </c>
      <c r="J9" s="23">
        <f t="shared" si="2"/>
        <v>-35142.76</v>
      </c>
      <c r="K9" s="24">
        <f t="shared" si="2"/>
        <v>21614.67</v>
      </c>
      <c r="L9" s="23">
        <f t="shared" si="2"/>
        <v>-28455.73</v>
      </c>
      <c r="M9" s="24">
        <f t="shared" si="2"/>
        <v>50418.119999999995</v>
      </c>
      <c r="N9" s="23">
        <f t="shared" si="2"/>
        <v>-37430.540000000008</v>
      </c>
      <c r="O9" s="23">
        <f t="shared" si="2"/>
        <v>-23375.32</v>
      </c>
      <c r="P9" s="23">
        <f>P5+P6</f>
        <v>-46537.540000000037</v>
      </c>
    </row>
    <row r="12" spans="2:18" x14ac:dyDescent="0.35">
      <c r="D12" s="26">
        <v>43374</v>
      </c>
      <c r="E12" s="26">
        <v>43405</v>
      </c>
      <c r="F12" s="26">
        <v>43435</v>
      </c>
      <c r="G12" s="26">
        <v>43466</v>
      </c>
      <c r="H12" s="26">
        <v>43497</v>
      </c>
      <c r="I12" s="26">
        <v>43525</v>
      </c>
      <c r="J12" s="26">
        <v>43556</v>
      </c>
      <c r="K12" s="26">
        <v>43586</v>
      </c>
      <c r="L12" s="26">
        <v>43617</v>
      </c>
      <c r="M12" s="26">
        <v>43647</v>
      </c>
      <c r="N12" s="26">
        <v>43678</v>
      </c>
      <c r="O12" s="26">
        <v>43709</v>
      </c>
      <c r="P12" s="13" t="s">
        <v>4</v>
      </c>
      <c r="R12" s="6"/>
    </row>
    <row r="13" spans="2:18" x14ac:dyDescent="0.35">
      <c r="B13" t="s">
        <v>14</v>
      </c>
      <c r="D13" s="1">
        <f>O7</f>
        <v>1820.2099999999991</v>
      </c>
      <c r="E13" s="1">
        <f t="shared" ref="E13:J13" si="3">D16</f>
        <v>7963.2000000000007</v>
      </c>
      <c r="F13" s="1">
        <f t="shared" si="3"/>
        <v>21142.159999999996</v>
      </c>
      <c r="G13" s="1">
        <f t="shared" si="3"/>
        <v>24905.419999999995</v>
      </c>
      <c r="H13" s="1">
        <f t="shared" si="3"/>
        <v>1432.6299999999901</v>
      </c>
      <c r="I13" s="1">
        <f t="shared" si="3"/>
        <v>15067.62999999999</v>
      </c>
      <c r="J13" s="1">
        <f t="shared" si="3"/>
        <v>20201.889999999985</v>
      </c>
    </row>
    <row r="14" spans="2:18" x14ac:dyDescent="0.35">
      <c r="B14" t="s">
        <v>0</v>
      </c>
      <c r="D14" s="1">
        <v>34121.79</v>
      </c>
      <c r="E14" s="1">
        <f>53569.61+1490</f>
        <v>55059.61</v>
      </c>
      <c r="F14" s="1">
        <f>33116.13-151.46</f>
        <v>32964.67</v>
      </c>
      <c r="G14" s="1">
        <f>28634.57-2510</f>
        <v>26124.57</v>
      </c>
      <c r="H14" s="1">
        <f>59314.14+870</f>
        <v>60184.14</v>
      </c>
      <c r="I14" s="1">
        <f>41653.96+720.67</f>
        <v>42374.63</v>
      </c>
      <c r="J14" s="1">
        <f>59324.63+512.73-20000</f>
        <v>39837.360000000001</v>
      </c>
      <c r="P14" s="19">
        <f>SUM(D14:O14)</f>
        <v>290666.76999999996</v>
      </c>
    </row>
    <row r="15" spans="2:18" x14ac:dyDescent="0.35">
      <c r="B15" t="s">
        <v>1</v>
      </c>
      <c r="D15" s="1">
        <f>-28591.8+613</f>
        <v>-27978.799999999999</v>
      </c>
      <c r="E15" s="1">
        <f>-41880.65</f>
        <v>-41880.65</v>
      </c>
      <c r="F15" s="1">
        <f>-29201.41</f>
        <v>-29201.41</v>
      </c>
      <c r="G15" s="1">
        <f>-49597.36</f>
        <v>-49597.36</v>
      </c>
      <c r="H15" s="1">
        <v>-46549.14</v>
      </c>
      <c r="I15" s="1">
        <v>-37240.370000000003</v>
      </c>
      <c r="J15" s="1">
        <v>-64912.6</v>
      </c>
      <c r="K15" s="1"/>
      <c r="L15" s="1"/>
      <c r="M15" s="1"/>
      <c r="N15" s="1"/>
      <c r="O15" s="1"/>
      <c r="P15" s="19">
        <f>SUM(D15:O15)</f>
        <v>-297360.32999999996</v>
      </c>
    </row>
    <row r="16" spans="2:18" x14ac:dyDescent="0.35">
      <c r="B16" t="s">
        <v>13</v>
      </c>
      <c r="D16" s="3">
        <f t="shared" ref="D16:I16" si="4">SUM(D13:D15)</f>
        <v>7963.2000000000007</v>
      </c>
      <c r="E16" s="3">
        <f t="shared" si="4"/>
        <v>21142.159999999996</v>
      </c>
      <c r="F16" s="3">
        <f t="shared" si="4"/>
        <v>24905.419999999995</v>
      </c>
      <c r="G16" s="3">
        <f t="shared" si="4"/>
        <v>1432.6299999999901</v>
      </c>
      <c r="H16" s="3">
        <f t="shared" si="4"/>
        <v>15067.62999999999</v>
      </c>
      <c r="I16" s="3">
        <f t="shared" si="4"/>
        <v>20201.889999999985</v>
      </c>
      <c r="J16" s="3">
        <f>SUM(J13:J15)</f>
        <v>-4873.3500000000131</v>
      </c>
      <c r="P16" s="20"/>
    </row>
    <row r="17" spans="2:16" x14ac:dyDescent="0.35">
      <c r="J17" s="3"/>
    </row>
    <row r="18" spans="2:16" x14ac:dyDescent="0.35">
      <c r="B18" t="s">
        <v>11</v>
      </c>
      <c r="D18" s="23">
        <f t="shared" ref="D18:I18" si="5">D14+D15</f>
        <v>6142.9900000000016</v>
      </c>
      <c r="E18" s="23">
        <f t="shared" si="5"/>
        <v>13178.96</v>
      </c>
      <c r="F18" s="23">
        <f t="shared" si="5"/>
        <v>3763.2599999999984</v>
      </c>
      <c r="G18" s="23">
        <f t="shared" si="5"/>
        <v>-23472.79</v>
      </c>
      <c r="H18" s="23">
        <f t="shared" si="5"/>
        <v>13635</v>
      </c>
      <c r="I18" s="23">
        <f t="shared" si="5"/>
        <v>5134.2599999999948</v>
      </c>
      <c r="J18" s="23">
        <f>J14+J15</f>
        <v>-25075.239999999998</v>
      </c>
      <c r="K18" s="24"/>
      <c r="L18" s="24"/>
      <c r="M18" s="24"/>
      <c r="N18" s="24"/>
      <c r="O18" s="24"/>
      <c r="P18" s="25">
        <f>P14+P15</f>
        <v>-6693.5599999999977</v>
      </c>
    </row>
    <row r="19" spans="2:16" x14ac:dyDescent="0.35">
      <c r="K19" s="40"/>
    </row>
    <row r="20" spans="2:16" x14ac:dyDescent="0.35">
      <c r="C20" s="10">
        <v>2018</v>
      </c>
      <c r="D20" s="10">
        <v>2019</v>
      </c>
      <c r="E20" s="10"/>
      <c r="F20" s="10"/>
      <c r="I20" s="10"/>
      <c r="J20" s="12" t="s">
        <v>20</v>
      </c>
      <c r="K20" s="22"/>
      <c r="L20" s="27"/>
      <c r="M20" s="22"/>
    </row>
    <row r="21" spans="2:16" x14ac:dyDescent="0.35">
      <c r="C21" s="13" t="s">
        <v>5</v>
      </c>
      <c r="D21" s="13" t="s">
        <v>5</v>
      </c>
      <c r="E21" s="10"/>
      <c r="F21" s="10"/>
      <c r="I21" s="13" t="s">
        <v>18</v>
      </c>
      <c r="J21" s="13" t="s">
        <v>17</v>
      </c>
      <c r="K21" s="22"/>
      <c r="L21" s="28"/>
      <c r="M21" s="22"/>
    </row>
    <row r="22" spans="2:16" x14ac:dyDescent="0.35">
      <c r="B22" s="13" t="s">
        <v>6</v>
      </c>
      <c r="C22" s="5">
        <f>P5/9</f>
        <v>38865.497777777775</v>
      </c>
      <c r="D22" s="41">
        <f>P14/7</f>
        <v>41523.824285714283</v>
      </c>
      <c r="I22" s="4" t="s">
        <v>15</v>
      </c>
      <c r="J22" s="1">
        <f>MIN(D14:J14)</f>
        <v>26124.57</v>
      </c>
      <c r="K22" s="29"/>
      <c r="L22" s="21"/>
      <c r="M22" s="22"/>
    </row>
    <row r="23" spans="2:16" x14ac:dyDescent="0.35">
      <c r="B23" s="13" t="s">
        <v>1</v>
      </c>
      <c r="C23" s="5">
        <f>P6/9</f>
        <v>-44036.335555555561</v>
      </c>
      <c r="D23" s="5">
        <f>P15/7</f>
        <v>-42480.04714285714</v>
      </c>
      <c r="I23" s="4" t="s">
        <v>16</v>
      </c>
      <c r="J23" s="1">
        <f>MIN(D15:J15)</f>
        <v>-64912.6</v>
      </c>
      <c r="K23" s="29"/>
      <c r="L23" s="21"/>
      <c r="M23" s="22"/>
    </row>
    <row r="24" spans="2:16" ht="15" thickBot="1" x14ac:dyDescent="0.4">
      <c r="B24" s="14" t="s">
        <v>4</v>
      </c>
      <c r="C24" s="15">
        <f>C22+C23</f>
        <v>-5170.837777777786</v>
      </c>
      <c r="D24" s="15">
        <f>D22+D23</f>
        <v>-956.22285714285681</v>
      </c>
      <c r="E24" s="11" t="s">
        <v>7</v>
      </c>
      <c r="F24" s="11"/>
      <c r="G24" s="11"/>
      <c r="H24" s="11"/>
      <c r="I24" s="16"/>
      <c r="J24" s="9">
        <f>SUM(J22:J23)</f>
        <v>-38788.03</v>
      </c>
      <c r="K24" t="s">
        <v>21</v>
      </c>
      <c r="L24" s="21"/>
      <c r="M24" s="22"/>
    </row>
    <row r="25" spans="2:16" ht="15" thickTop="1" x14ac:dyDescent="0.35">
      <c r="I25" s="2"/>
      <c r="K25" s="22"/>
      <c r="L25" s="22"/>
      <c r="M25" s="22"/>
    </row>
    <row r="26" spans="2:16" x14ac:dyDescent="0.35">
      <c r="I26" s="2"/>
      <c r="J26" s="2"/>
      <c r="K26" s="30"/>
      <c r="L26" s="30"/>
      <c r="M26" s="22"/>
    </row>
    <row r="27" spans="2:16" x14ac:dyDescent="0.35">
      <c r="B27" s="4" t="s">
        <v>9</v>
      </c>
      <c r="C27" s="7">
        <v>129620.43</v>
      </c>
      <c r="I27" s="2"/>
      <c r="J27" s="2"/>
      <c r="K27" s="2"/>
      <c r="L27" s="2"/>
    </row>
    <row r="28" spans="2:16" x14ac:dyDescent="0.35">
      <c r="B28" s="4" t="s">
        <v>10</v>
      </c>
      <c r="C28" s="5">
        <v>-13648.77</v>
      </c>
      <c r="I28" s="2"/>
      <c r="J28" s="2"/>
      <c r="K28" s="2"/>
      <c r="L28" s="2"/>
    </row>
    <row r="29" spans="2:16" ht="15" thickBot="1" x14ac:dyDescent="0.4">
      <c r="B29" s="11"/>
      <c r="C29" s="16">
        <f>SUM(C27:C28)</f>
        <v>115971.65999999999</v>
      </c>
      <c r="D29" s="11" t="s">
        <v>24</v>
      </c>
      <c r="E29" s="11"/>
      <c r="F29" s="11"/>
      <c r="G29" s="11"/>
      <c r="H29" s="11"/>
      <c r="I29" s="16"/>
      <c r="J29" s="16"/>
      <c r="K29" s="2"/>
    </row>
    <row r="30" spans="2:16" ht="15" thickTop="1" x14ac:dyDescent="0.35">
      <c r="E30" s="4"/>
      <c r="I30" s="2"/>
      <c r="J30" s="2"/>
      <c r="K30" s="2"/>
    </row>
    <row r="31" spans="2:16" x14ac:dyDescent="0.35">
      <c r="E31" s="4"/>
      <c r="I31" s="2"/>
      <c r="J31" s="2"/>
      <c r="K31" s="2"/>
    </row>
    <row r="32" spans="2:16" ht="15" thickBot="1" x14ac:dyDescent="0.4">
      <c r="B32" s="11" t="s">
        <v>12</v>
      </c>
      <c r="C32" s="17">
        <v>46137.2</v>
      </c>
      <c r="D32" s="11" t="s">
        <v>19</v>
      </c>
      <c r="E32" s="18"/>
      <c r="F32" s="11"/>
      <c r="G32" s="11"/>
      <c r="H32" s="11"/>
      <c r="I32" s="16"/>
      <c r="J32" s="16"/>
    </row>
    <row r="33" spans="3:10" ht="15" thickTop="1" x14ac:dyDescent="0.35">
      <c r="I33" s="2"/>
      <c r="J33" s="2"/>
    </row>
    <row r="34" spans="3:10" x14ac:dyDescent="0.35">
      <c r="C34" s="42">
        <v>0.3</v>
      </c>
      <c r="D34" t="s">
        <v>25</v>
      </c>
      <c r="I34" s="2"/>
      <c r="J34" s="2"/>
    </row>
    <row r="35" spans="3:10" x14ac:dyDescent="0.35">
      <c r="C35" s="42">
        <v>0.2</v>
      </c>
      <c r="D35" t="s">
        <v>26</v>
      </c>
      <c r="I35" s="2"/>
      <c r="J35" s="2"/>
    </row>
    <row r="36" spans="3:10" x14ac:dyDescent="0.35">
      <c r="C36" s="42">
        <v>0.1</v>
      </c>
      <c r="D36" t="s">
        <v>27</v>
      </c>
      <c r="I36" s="2"/>
      <c r="J36" s="2"/>
    </row>
    <row r="37" spans="3:10" x14ac:dyDescent="0.35">
      <c r="C37" s="42">
        <v>0.1</v>
      </c>
      <c r="D37" t="s">
        <v>28</v>
      </c>
      <c r="I37" s="2"/>
    </row>
    <row r="38" spans="3:10" x14ac:dyDescent="0.35">
      <c r="C38" s="42">
        <v>0.1</v>
      </c>
      <c r="D38" t="s">
        <v>29</v>
      </c>
    </row>
    <row r="39" spans="3:10" x14ac:dyDescent="0.35">
      <c r="C39" s="42">
        <v>0.1</v>
      </c>
      <c r="D39" t="s">
        <v>30</v>
      </c>
    </row>
    <row r="40" spans="3:10" x14ac:dyDescent="0.35">
      <c r="C40" s="42">
        <v>0.05</v>
      </c>
      <c r="D40" t="s">
        <v>31</v>
      </c>
    </row>
    <row r="41" spans="3:10" x14ac:dyDescent="0.35">
      <c r="C41" s="42">
        <v>0.05</v>
      </c>
      <c r="D41" t="s">
        <v>32</v>
      </c>
    </row>
    <row r="42" spans="3:10" x14ac:dyDescent="0.35">
      <c r="C42" s="42">
        <f>SUM(C34:C41)</f>
        <v>1</v>
      </c>
    </row>
  </sheetData>
  <pageMargins left="0.7" right="0.7" top="0.75" bottom="0.75" header="0.3" footer="0.3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5"/>
  <sheetViews>
    <sheetView tabSelected="1" workbookViewId="0">
      <selection activeCell="J8" sqref="J8"/>
    </sheetView>
  </sheetViews>
  <sheetFormatPr defaultRowHeight="14.5" x14ac:dyDescent="0.35"/>
  <cols>
    <col min="2" max="2" width="18.54296875" bestFit="1" customWidth="1"/>
    <col min="3" max="3" width="7.81640625" bestFit="1" customWidth="1"/>
    <col min="4" max="5" width="8.7265625" bestFit="1" customWidth="1"/>
    <col min="6" max="11" width="9" bestFit="1" customWidth="1"/>
    <col min="13" max="13" width="66.54296875" customWidth="1"/>
  </cols>
  <sheetData>
    <row r="3" spans="1:13" x14ac:dyDescent="0.35">
      <c r="C3" s="44">
        <v>43556</v>
      </c>
      <c r="D3" s="44">
        <v>43586</v>
      </c>
      <c r="E3" s="44">
        <v>43617</v>
      </c>
      <c r="F3" s="44">
        <v>43647</v>
      </c>
      <c r="G3" s="44">
        <v>43678</v>
      </c>
      <c r="H3" s="44">
        <v>43709</v>
      </c>
      <c r="I3" s="44">
        <v>43739</v>
      </c>
      <c r="J3" s="44">
        <v>43770</v>
      </c>
      <c r="K3" s="44">
        <v>43800</v>
      </c>
    </row>
    <row r="4" spans="1:13" x14ac:dyDescent="0.35">
      <c r="A4" s="4"/>
      <c r="B4" s="49" t="s">
        <v>14</v>
      </c>
    </row>
    <row r="5" spans="1:13" x14ac:dyDescent="0.35">
      <c r="A5" s="49" t="s">
        <v>0</v>
      </c>
      <c r="B5" s="4"/>
      <c r="M5" s="39"/>
    </row>
    <row r="6" spans="1:13" ht="15" customHeight="1" x14ac:dyDescent="0.35">
      <c r="A6" s="49"/>
      <c r="B6" s="50" t="s">
        <v>22</v>
      </c>
      <c r="C6" s="8"/>
      <c r="D6" s="38">
        <v>32000</v>
      </c>
      <c r="E6" s="38">
        <f>D6</f>
        <v>32000</v>
      </c>
      <c r="F6" s="38">
        <f t="shared" ref="F6:K6" si="0">E6</f>
        <v>32000</v>
      </c>
      <c r="G6" s="38">
        <f t="shared" si="0"/>
        <v>32000</v>
      </c>
      <c r="H6" s="38">
        <f t="shared" si="0"/>
        <v>32000</v>
      </c>
      <c r="I6" s="38">
        <f t="shared" si="0"/>
        <v>32000</v>
      </c>
      <c r="J6" s="38">
        <f t="shared" si="0"/>
        <v>32000</v>
      </c>
      <c r="K6" s="38">
        <f t="shared" si="0"/>
        <v>32000</v>
      </c>
      <c r="M6" s="39" t="s">
        <v>54</v>
      </c>
    </row>
    <row r="7" spans="1:13" x14ac:dyDescent="0.35">
      <c r="A7" s="49"/>
      <c r="B7" s="50" t="s">
        <v>23</v>
      </c>
      <c r="C7" s="8"/>
      <c r="D7" s="38">
        <f>Cashflow!C34*Cashflow!C32</f>
        <v>13841.159999999998</v>
      </c>
      <c r="E7" s="38">
        <f>Cashflow!C35*Cashflow!C32</f>
        <v>9227.44</v>
      </c>
      <c r="F7" s="38">
        <f>Cashflow!C36*Cashflow!C32</f>
        <v>4613.72</v>
      </c>
      <c r="G7" s="38">
        <f>Cashflow!C37*Cashflow!C32</f>
        <v>4613.72</v>
      </c>
      <c r="H7" s="38">
        <f>Cashflow!C38*Cashflow!C32</f>
        <v>4613.72</v>
      </c>
      <c r="I7" s="38">
        <f>Cashflow!C39*Cashflow!C32</f>
        <v>4613.72</v>
      </c>
      <c r="J7" s="38">
        <f>Cashflow!C40*Cashflow!C32</f>
        <v>2306.86</v>
      </c>
      <c r="K7" s="38">
        <f>Cashflow!C41*Cashflow!C32</f>
        <v>2306.86</v>
      </c>
      <c r="L7" s="39"/>
      <c r="M7" s="39"/>
    </row>
    <row r="8" spans="1:13" x14ac:dyDescent="0.35">
      <c r="A8" s="49"/>
      <c r="B8" s="50" t="s">
        <v>39</v>
      </c>
      <c r="C8" s="8"/>
      <c r="E8" s="38">
        <v>12029.04</v>
      </c>
      <c r="F8" s="38">
        <v>18575.13</v>
      </c>
      <c r="G8" s="38"/>
      <c r="H8" s="38">
        <v>12768</v>
      </c>
      <c r="I8" s="38">
        <v>1275</v>
      </c>
      <c r="J8" s="45"/>
      <c r="K8" s="45"/>
      <c r="M8" s="39" t="s">
        <v>59</v>
      </c>
    </row>
    <row r="9" spans="1:13" x14ac:dyDescent="0.35">
      <c r="A9" s="49"/>
      <c r="B9" s="50" t="s">
        <v>50</v>
      </c>
      <c r="C9" s="39"/>
      <c r="D9" s="38"/>
      <c r="E9" s="38"/>
      <c r="F9" s="38">
        <v>5000</v>
      </c>
      <c r="G9" s="38"/>
      <c r="H9" s="38"/>
      <c r="I9" s="38">
        <v>5000</v>
      </c>
      <c r="J9" s="38"/>
      <c r="K9" s="38"/>
      <c r="M9" s="39"/>
    </row>
    <row r="10" spans="1:13" x14ac:dyDescent="0.35">
      <c r="B10" s="51" t="s">
        <v>4</v>
      </c>
      <c r="C10" s="8"/>
      <c r="D10" s="38">
        <f>SUM(D6:D9)</f>
        <v>45841.159999999996</v>
      </c>
      <c r="E10" s="38">
        <f t="shared" ref="E10:K10" si="1">SUM(E6:E9)</f>
        <v>53256.480000000003</v>
      </c>
      <c r="F10" s="38">
        <f t="shared" si="1"/>
        <v>60188.850000000006</v>
      </c>
      <c r="G10" s="38">
        <f t="shared" si="1"/>
        <v>36613.72</v>
      </c>
      <c r="H10" s="38">
        <f t="shared" si="1"/>
        <v>49381.72</v>
      </c>
      <c r="I10" s="38">
        <f t="shared" si="1"/>
        <v>42888.72</v>
      </c>
      <c r="J10" s="38">
        <f t="shared" si="1"/>
        <v>34306.86</v>
      </c>
      <c r="K10" s="38">
        <f t="shared" si="1"/>
        <v>34306.86</v>
      </c>
      <c r="M10" s="39"/>
    </row>
    <row r="11" spans="1:13" x14ac:dyDescent="0.35">
      <c r="A11" s="49"/>
      <c r="B11" s="4"/>
      <c r="D11" s="38"/>
      <c r="E11" s="38"/>
      <c r="F11" s="38"/>
      <c r="G11" s="38"/>
      <c r="H11" s="38"/>
      <c r="I11" s="45"/>
      <c r="J11" s="45"/>
      <c r="K11" s="45"/>
      <c r="M11" s="39"/>
    </row>
    <row r="12" spans="1:13" x14ac:dyDescent="0.35">
      <c r="A12" s="49" t="s">
        <v>33</v>
      </c>
      <c r="B12" s="50"/>
      <c r="C12" s="8"/>
      <c r="D12" s="38"/>
      <c r="E12" s="38"/>
      <c r="F12" s="38"/>
      <c r="G12" s="38"/>
      <c r="H12" s="38"/>
      <c r="I12" s="45"/>
      <c r="J12" s="45"/>
      <c r="K12" s="45"/>
      <c r="M12" s="39"/>
    </row>
    <row r="13" spans="1:13" ht="15" customHeight="1" x14ac:dyDescent="0.35">
      <c r="A13" s="49"/>
      <c r="B13" s="50" t="s">
        <v>34</v>
      </c>
      <c r="C13" s="8"/>
      <c r="D13" s="46">
        <v>-5997</v>
      </c>
      <c r="E13" s="46">
        <v>-5997</v>
      </c>
      <c r="F13" s="46">
        <v>-5997</v>
      </c>
      <c r="G13" s="46">
        <v>-5997</v>
      </c>
      <c r="H13" s="46">
        <v>-5997</v>
      </c>
      <c r="I13" s="46">
        <v>-5997</v>
      </c>
      <c r="J13" s="46">
        <v>-5997</v>
      </c>
      <c r="K13" s="46">
        <v>-5997</v>
      </c>
      <c r="M13" s="39" t="s">
        <v>55</v>
      </c>
    </row>
    <row r="14" spans="1:13" x14ac:dyDescent="0.35">
      <c r="A14" s="49"/>
      <c r="B14" s="50" t="s">
        <v>35</v>
      </c>
      <c r="C14" s="8"/>
      <c r="D14" s="46">
        <v>-6039</v>
      </c>
      <c r="E14" s="46">
        <v>-6039</v>
      </c>
      <c r="F14" s="46">
        <v>-6039</v>
      </c>
      <c r="G14" s="46">
        <v>-6039</v>
      </c>
      <c r="H14" s="46">
        <v>-6039</v>
      </c>
      <c r="I14" s="46">
        <v>-6039</v>
      </c>
      <c r="J14" s="46">
        <v>-6039</v>
      </c>
      <c r="K14" s="46">
        <v>-6039</v>
      </c>
      <c r="M14" s="39" t="s">
        <v>44</v>
      </c>
    </row>
    <row r="15" spans="1:13" x14ac:dyDescent="0.35">
      <c r="A15" s="49"/>
      <c r="B15" s="50" t="s">
        <v>36</v>
      </c>
      <c r="C15" s="8"/>
      <c r="D15" s="46">
        <v>-7399</v>
      </c>
      <c r="E15" s="46">
        <v>-7399</v>
      </c>
      <c r="F15" s="46">
        <v>-7399</v>
      </c>
      <c r="G15" s="46">
        <v>-7399</v>
      </c>
      <c r="H15" s="46">
        <v>-7399</v>
      </c>
      <c r="I15" s="46">
        <v>-7399</v>
      </c>
      <c r="J15" s="46">
        <v>-7399</v>
      </c>
      <c r="K15" s="46">
        <v>-7399</v>
      </c>
      <c r="M15" s="53" t="s">
        <v>55</v>
      </c>
    </row>
    <row r="16" spans="1:13" x14ac:dyDescent="0.35">
      <c r="A16" s="49"/>
      <c r="B16" s="50" t="s">
        <v>37</v>
      </c>
      <c r="C16" s="8"/>
      <c r="D16" s="46">
        <v>-5459</v>
      </c>
      <c r="E16" s="46">
        <v>-5459</v>
      </c>
      <c r="F16" s="46">
        <v>-5459</v>
      </c>
      <c r="G16" s="46">
        <v>-5459</v>
      </c>
      <c r="H16" s="46">
        <v>-5459</v>
      </c>
      <c r="I16" s="46">
        <v>-5459</v>
      </c>
      <c r="J16" s="46">
        <v>-5459</v>
      </c>
      <c r="K16" s="46">
        <v>-5459</v>
      </c>
      <c r="M16" s="39" t="s">
        <v>44</v>
      </c>
    </row>
    <row r="17" spans="1:13" x14ac:dyDescent="0.35">
      <c r="A17" s="49"/>
      <c r="B17" s="50" t="s">
        <v>38</v>
      </c>
      <c r="C17" s="8"/>
      <c r="D17" s="46">
        <v>-300</v>
      </c>
      <c r="E17" s="46">
        <v>-300</v>
      </c>
      <c r="F17" s="46">
        <v>-300</v>
      </c>
      <c r="G17" s="46">
        <v>-300</v>
      </c>
      <c r="H17" s="46">
        <v>-300</v>
      </c>
      <c r="I17" s="46">
        <v>-300</v>
      </c>
      <c r="J17" s="46">
        <v>-300</v>
      </c>
      <c r="K17" s="46">
        <v>-300</v>
      </c>
      <c r="M17" s="39" t="s">
        <v>45</v>
      </c>
    </row>
    <row r="18" spans="1:13" x14ac:dyDescent="0.35">
      <c r="A18" s="49"/>
      <c r="B18" s="50" t="s">
        <v>39</v>
      </c>
      <c r="C18" s="8"/>
      <c r="D18" s="46">
        <v>-6150</v>
      </c>
      <c r="E18" s="46">
        <v>-7585</v>
      </c>
      <c r="F18" s="46">
        <v>-800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M18" s="54" t="s">
        <v>53</v>
      </c>
    </row>
    <row r="19" spans="1:13" x14ac:dyDescent="0.35">
      <c r="A19" s="49"/>
      <c r="B19" s="50" t="s">
        <v>42</v>
      </c>
      <c r="C19" s="8"/>
      <c r="E19" s="46"/>
      <c r="F19" s="46"/>
      <c r="G19" s="46"/>
      <c r="H19" s="46">
        <v>-7735</v>
      </c>
      <c r="I19" s="46"/>
      <c r="J19" s="46"/>
      <c r="K19" s="46"/>
      <c r="M19" s="39" t="s">
        <v>46</v>
      </c>
    </row>
    <row r="20" spans="1:13" ht="23" x14ac:dyDescent="0.35">
      <c r="A20" s="49"/>
      <c r="B20" s="50" t="s">
        <v>40</v>
      </c>
      <c r="C20" s="39"/>
      <c r="D20" s="46">
        <v>-15000</v>
      </c>
      <c r="E20" s="46">
        <v>-15000</v>
      </c>
      <c r="F20" s="46">
        <v>-2500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M20" s="39" t="s">
        <v>56</v>
      </c>
    </row>
    <row r="21" spans="1:13" x14ac:dyDescent="0.35">
      <c r="A21" s="49"/>
      <c r="B21" s="50" t="s">
        <v>41</v>
      </c>
      <c r="C21" s="8"/>
      <c r="D21" s="46">
        <v>-2000</v>
      </c>
      <c r="E21" s="46">
        <v>-2000</v>
      </c>
      <c r="F21" s="46">
        <v>-2000</v>
      </c>
      <c r="G21" s="46">
        <v>-5000</v>
      </c>
      <c r="H21" s="46">
        <v>-5000</v>
      </c>
      <c r="I21" s="46">
        <v>-5000</v>
      </c>
      <c r="J21" s="46">
        <v>-5000</v>
      </c>
      <c r="K21" s="46">
        <v>-5000</v>
      </c>
      <c r="M21" s="39" t="s">
        <v>57</v>
      </c>
    </row>
    <row r="22" spans="1:13" x14ac:dyDescent="0.35">
      <c r="A22" s="49"/>
      <c r="B22" s="50" t="s">
        <v>43</v>
      </c>
      <c r="C22" s="8"/>
      <c r="D22" s="46">
        <v>-500</v>
      </c>
      <c r="E22" s="46">
        <v>-500</v>
      </c>
      <c r="F22" s="46">
        <v>-500</v>
      </c>
      <c r="G22" s="46">
        <v>-500</v>
      </c>
      <c r="H22" s="46">
        <v>-500</v>
      </c>
      <c r="I22" s="46">
        <v>-500</v>
      </c>
      <c r="J22" s="46">
        <v>-500</v>
      </c>
      <c r="K22" s="46">
        <v>-500</v>
      </c>
      <c r="M22" s="39" t="s">
        <v>47</v>
      </c>
    </row>
    <row r="23" spans="1:13" x14ac:dyDescent="0.35">
      <c r="A23" s="49"/>
      <c r="B23" s="50" t="s">
        <v>51</v>
      </c>
      <c r="C23" s="39"/>
      <c r="D23" s="46">
        <v>-4700</v>
      </c>
      <c r="E23" s="46">
        <v>-4700</v>
      </c>
      <c r="F23" s="46">
        <v>-4700</v>
      </c>
      <c r="G23" s="46">
        <v>-4700</v>
      </c>
      <c r="H23" s="46">
        <v>-4700</v>
      </c>
      <c r="I23" s="46">
        <v>-12000</v>
      </c>
      <c r="J23" s="46">
        <v>-12000</v>
      </c>
      <c r="K23" s="46"/>
      <c r="M23" s="54" t="s">
        <v>60</v>
      </c>
    </row>
    <row r="24" spans="1:13" ht="23" x14ac:dyDescent="0.35">
      <c r="A24" s="49"/>
      <c r="B24" s="50" t="s">
        <v>52</v>
      </c>
      <c r="C24" s="39"/>
      <c r="D24" s="46">
        <v>-4500</v>
      </c>
      <c r="E24" s="46">
        <v>-4500</v>
      </c>
      <c r="F24" s="46">
        <v>-4500</v>
      </c>
      <c r="G24" s="46">
        <v>-4500</v>
      </c>
      <c r="H24" s="46">
        <v>-4500</v>
      </c>
      <c r="I24" s="46">
        <v>-4500</v>
      </c>
      <c r="J24" s="46">
        <v>-4500</v>
      </c>
      <c r="K24" s="46">
        <v>-4500</v>
      </c>
      <c r="M24" s="54" t="s">
        <v>58</v>
      </c>
    </row>
    <row r="25" spans="1:13" x14ac:dyDescent="0.35">
      <c r="B25" s="51" t="s">
        <v>4</v>
      </c>
      <c r="C25" s="8"/>
      <c r="D25" s="46">
        <f>SUM(D13:D24)</f>
        <v>-58044</v>
      </c>
      <c r="E25" s="46">
        <f t="shared" ref="E25:J25" si="2">SUM(E13:E24)</f>
        <v>-59479</v>
      </c>
      <c r="F25" s="46">
        <f t="shared" si="2"/>
        <v>-40194</v>
      </c>
      <c r="G25" s="46">
        <f t="shared" si="2"/>
        <v>-39894</v>
      </c>
      <c r="H25" s="46">
        <f t="shared" si="2"/>
        <v>-47629</v>
      </c>
      <c r="I25" s="46">
        <f t="shared" si="2"/>
        <v>-47194</v>
      </c>
      <c r="J25" s="46">
        <f t="shared" si="2"/>
        <v>-47194</v>
      </c>
      <c r="K25" s="46">
        <f>SUM(K13:K24)</f>
        <v>-35194</v>
      </c>
    </row>
    <row r="26" spans="1:13" ht="15" thickBot="1" x14ac:dyDescent="0.4">
      <c r="B26" s="52" t="s">
        <v>48</v>
      </c>
      <c r="C26" s="47"/>
      <c r="D26" s="48">
        <f>D10+D25</f>
        <v>-12202.840000000004</v>
      </c>
      <c r="E26" s="48">
        <f t="shared" ref="E26:K26" si="3">E10+E25</f>
        <v>-6222.5199999999968</v>
      </c>
      <c r="F26" s="48">
        <f t="shared" si="3"/>
        <v>19994.850000000006</v>
      </c>
      <c r="G26" s="48">
        <f t="shared" si="3"/>
        <v>-3280.2799999999988</v>
      </c>
      <c r="H26" s="48">
        <f t="shared" si="3"/>
        <v>1752.7200000000012</v>
      </c>
      <c r="I26" s="48">
        <f t="shared" si="3"/>
        <v>-4305.2799999999988</v>
      </c>
      <c r="J26" s="48">
        <f t="shared" si="3"/>
        <v>-12887.14</v>
      </c>
      <c r="K26" s="48">
        <f t="shared" si="3"/>
        <v>-887.13999999999942</v>
      </c>
    </row>
    <row r="27" spans="1:13" ht="15" thickTop="1" x14ac:dyDescent="0.35">
      <c r="D27" s="46"/>
      <c r="E27" s="38"/>
      <c r="F27" s="38"/>
      <c r="G27" s="38"/>
      <c r="H27" s="45"/>
      <c r="I27" s="45"/>
      <c r="J27" s="45"/>
      <c r="K27" s="45"/>
    </row>
    <row r="28" spans="1:13" x14ac:dyDescent="0.35">
      <c r="B28" s="33"/>
      <c r="C28" s="8"/>
      <c r="D28" s="38"/>
      <c r="E28" s="38"/>
      <c r="F28" s="38"/>
      <c r="G28" s="38"/>
      <c r="H28" s="45"/>
      <c r="I28" s="45"/>
      <c r="J28" s="45"/>
      <c r="K28" s="45"/>
    </row>
    <row r="29" spans="1:13" x14ac:dyDescent="0.35">
      <c r="A29" s="34" t="s">
        <v>49</v>
      </c>
      <c r="B29" s="8"/>
      <c r="C29" s="43">
        <v>15126.65</v>
      </c>
      <c r="D29" s="43">
        <f>C29+D26</f>
        <v>2923.8099999999959</v>
      </c>
      <c r="E29" s="43">
        <f>D29+E26</f>
        <v>-3298.7100000000009</v>
      </c>
      <c r="F29" s="43">
        <f>E29+F26</f>
        <v>16696.140000000007</v>
      </c>
      <c r="G29" s="43">
        <f t="shared" ref="G29:K29" si="4">F29+G26</f>
        <v>13415.860000000008</v>
      </c>
      <c r="H29" s="43">
        <f t="shared" si="4"/>
        <v>15168.580000000009</v>
      </c>
      <c r="I29" s="43">
        <f t="shared" si="4"/>
        <v>10863.30000000001</v>
      </c>
      <c r="J29" s="43">
        <f t="shared" si="4"/>
        <v>-2023.8399999999892</v>
      </c>
      <c r="K29" s="43">
        <f t="shared" si="4"/>
        <v>-2910.9799999999886</v>
      </c>
    </row>
    <row r="30" spans="1:13" x14ac:dyDescent="0.35">
      <c r="B30" s="33"/>
      <c r="C30" s="8"/>
      <c r="D30" s="38"/>
      <c r="E30" s="38"/>
      <c r="F30" s="38"/>
      <c r="G30" s="38"/>
      <c r="H30" s="45"/>
      <c r="I30" s="45"/>
      <c r="J30" s="45"/>
      <c r="K30" s="45"/>
    </row>
    <row r="35" spans="3:11" x14ac:dyDescent="0.35">
      <c r="C35" s="35"/>
      <c r="D35" s="35"/>
      <c r="E35" s="35"/>
      <c r="F35" s="35"/>
      <c r="G35" s="35"/>
      <c r="H35" s="35"/>
      <c r="I35" s="4"/>
    </row>
    <row r="36" spans="3:11" x14ac:dyDescent="0.35">
      <c r="C36" s="8"/>
      <c r="D36" s="8"/>
      <c r="E36" s="31"/>
      <c r="F36" s="31"/>
      <c r="G36" s="31"/>
      <c r="H36" s="31"/>
      <c r="I36" s="36"/>
    </row>
    <row r="37" spans="3:11" x14ac:dyDescent="0.35">
      <c r="C37" s="8"/>
      <c r="D37" s="8"/>
      <c r="E37" s="31"/>
      <c r="F37" s="31"/>
      <c r="G37" s="31"/>
      <c r="H37" s="31"/>
      <c r="I37" s="31"/>
    </row>
    <row r="38" spans="3:11" x14ac:dyDescent="0.35">
      <c r="C38" s="8"/>
      <c r="D38" s="8"/>
      <c r="E38" s="8"/>
      <c r="F38" s="8"/>
      <c r="G38" s="8"/>
      <c r="H38" s="8"/>
      <c r="I38" s="31"/>
    </row>
    <row r="39" spans="3:11" x14ac:dyDescent="0.35">
      <c r="C39" s="8"/>
      <c r="D39" s="8"/>
      <c r="E39" s="8"/>
      <c r="F39" s="8"/>
      <c r="G39" s="8"/>
      <c r="H39" s="8"/>
      <c r="I39" s="31"/>
      <c r="J39" s="32"/>
      <c r="K39" s="32"/>
    </row>
    <row r="40" spans="3:11" x14ac:dyDescent="0.35">
      <c r="C40" s="8"/>
      <c r="D40" s="8"/>
      <c r="E40" s="8"/>
      <c r="F40" s="8"/>
      <c r="G40" s="8"/>
      <c r="H40" s="8"/>
      <c r="I40" s="31"/>
    </row>
    <row r="41" spans="3:11" x14ac:dyDescent="0.35">
      <c r="C41" s="31"/>
      <c r="D41" s="37"/>
      <c r="E41" s="37"/>
      <c r="F41" s="37"/>
      <c r="G41" s="37"/>
      <c r="H41" s="37"/>
      <c r="I41" s="37"/>
      <c r="J41" s="8"/>
    </row>
    <row r="42" spans="3:11" x14ac:dyDescent="0.35">
      <c r="C42" s="31"/>
      <c r="D42" s="31"/>
      <c r="E42" s="31"/>
      <c r="F42" s="31"/>
      <c r="G42" s="31"/>
      <c r="H42" s="31"/>
      <c r="I42" s="31"/>
      <c r="J42" s="8"/>
    </row>
    <row r="43" spans="3:11" x14ac:dyDescent="0.35">
      <c r="C43" s="31"/>
      <c r="D43" s="31"/>
      <c r="E43" s="31"/>
      <c r="F43" s="31"/>
      <c r="G43" s="31"/>
      <c r="H43" s="31"/>
      <c r="I43" s="31"/>
      <c r="J43" s="8"/>
    </row>
    <row r="44" spans="3:11" x14ac:dyDescent="0.35">
      <c r="C44" s="31"/>
      <c r="D44" s="31"/>
      <c r="E44" s="31"/>
      <c r="F44" s="31"/>
      <c r="G44" s="31"/>
      <c r="H44" s="31"/>
      <c r="I44" s="31"/>
      <c r="J44" s="8"/>
    </row>
    <row r="45" spans="3:11" x14ac:dyDescent="0.35">
      <c r="C45" s="31"/>
      <c r="D45" s="31"/>
      <c r="E45" s="31"/>
      <c r="F45" s="31"/>
      <c r="G45" s="31"/>
      <c r="H45" s="31"/>
      <c r="I45" s="31"/>
    </row>
  </sheetData>
  <pageMargins left="0.7" right="0.7" top="0.75" bottom="0.75" header="0.3" footer="0.3"/>
  <pageSetup paperSize="9" scale="7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Detailed 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Mizerska</dc:creator>
  <cp:lastModifiedBy>Keith Newton (INT)</cp:lastModifiedBy>
  <cp:lastPrinted>2019-05-13T08:37:22Z</cp:lastPrinted>
  <dcterms:created xsi:type="dcterms:W3CDTF">2019-04-24T14:14:49Z</dcterms:created>
  <dcterms:modified xsi:type="dcterms:W3CDTF">2019-05-13T09:36:09Z</dcterms:modified>
</cp:coreProperties>
</file>